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8" windowWidth="15588" windowHeight="6828" tabRatio="931" firstSheet="1" activeTab="1"/>
  </bookViews>
  <sheets>
    <sheet name="Top Sheet" sheetId="9" state="hidden" r:id="rId1"/>
    <sheet name="Summary New Year" sheetId="20" r:id="rId2"/>
    <sheet name="New Year-Full Year" sheetId="1" r:id="rId3"/>
  </sheets>
  <definedNames>
    <definedName name="Cur_Actuals">#REF!</definedName>
    <definedName name="Cur_Budget">#REF!</definedName>
    <definedName name="Cur_Month">'Top Sheet'!$C$5</definedName>
    <definedName name="Cur_Year">'Top Sheet'!$C$2</definedName>
    <definedName name="Lookup_Month">#REF!</definedName>
    <definedName name="_xlnm.Print_Titles" localSheetId="2">'New Year-Full Year'!$1:$4</definedName>
    <definedName name="_xlnm.Print_Titles" localSheetId="1">'Summary New Year'!$1:$4</definedName>
    <definedName name="PY_Actual">#REF!</definedName>
  </definedNames>
  <calcPr calcId="145621"/>
</workbook>
</file>

<file path=xl/calcChain.xml><?xml version="1.0" encoding="utf-8"?>
<calcChain xmlns="http://schemas.openxmlformats.org/spreadsheetml/2006/main">
  <c r="K104" i="20" l="1"/>
  <c r="J104" i="20"/>
  <c r="I104" i="20"/>
  <c r="G104" i="20"/>
  <c r="F104" i="20"/>
  <c r="E104" i="20"/>
  <c r="H160" i="1"/>
  <c r="J160" i="1" s="1"/>
  <c r="O160" i="1"/>
  <c r="K160" i="1"/>
  <c r="O158" i="1"/>
  <c r="K158" i="1"/>
  <c r="I163" i="1" l="1"/>
  <c r="J102" i="20" l="1"/>
  <c r="I102" i="20"/>
  <c r="F102" i="20"/>
  <c r="H158" i="1"/>
  <c r="H106" i="1"/>
  <c r="N78" i="1"/>
  <c r="M78" i="1"/>
  <c r="E102" i="20" l="1"/>
  <c r="J158" i="1"/>
  <c r="H84" i="1"/>
  <c r="H83" i="1"/>
  <c r="H79" i="1"/>
  <c r="H78" i="1"/>
  <c r="H81" i="1" l="1"/>
  <c r="H108" i="1"/>
  <c r="H159" i="1" l="1"/>
  <c r="H123" i="1"/>
  <c r="H103" i="1"/>
  <c r="H104" i="1" s="1"/>
  <c r="H93" i="1"/>
  <c r="H142" i="1" l="1"/>
  <c r="H68" i="1"/>
  <c r="H61" i="1"/>
  <c r="H128" i="1" l="1"/>
  <c r="H124" i="1"/>
  <c r="H119" i="1"/>
  <c r="H116" i="1"/>
  <c r="H115" i="1"/>
  <c r="H113" i="1"/>
  <c r="H99" i="1"/>
  <c r="I26" i="1" l="1"/>
  <c r="I27" i="1"/>
  <c r="I129" i="1"/>
  <c r="I132" i="1" s="1"/>
  <c r="I144" i="1"/>
  <c r="I153" i="1"/>
  <c r="I120" i="1"/>
  <c r="I85" i="1"/>
  <c r="I90" i="1"/>
  <c r="I95" i="1"/>
  <c r="F74" i="20" s="1"/>
  <c r="I100" i="1"/>
  <c r="I110" i="1"/>
  <c r="I73" i="1"/>
  <c r="I65" i="1"/>
  <c r="I54" i="1"/>
  <c r="I12" i="1"/>
  <c r="I20" i="1"/>
  <c r="I40" i="1"/>
  <c r="I47" i="1"/>
  <c r="F72" i="20" l="1"/>
  <c r="I21" i="1"/>
  <c r="I25" i="1" s="1"/>
  <c r="I28" i="1" s="1"/>
  <c r="I29" i="1" s="1"/>
  <c r="I74" i="1"/>
  <c r="I154" i="1"/>
  <c r="I133" i="1"/>
  <c r="I3" i="20"/>
  <c r="I165" i="1" l="1"/>
  <c r="I166" i="1" s="1"/>
  <c r="J9" i="20"/>
  <c r="J10" i="20"/>
  <c r="I9" i="20"/>
  <c r="I10" i="20"/>
  <c r="E58" i="20"/>
  <c r="F58" i="20"/>
  <c r="I58" i="20"/>
  <c r="J58" i="20"/>
  <c r="J75" i="20"/>
  <c r="J76" i="20"/>
  <c r="I76" i="20"/>
  <c r="I75" i="20"/>
  <c r="F75" i="20"/>
  <c r="F76" i="20"/>
  <c r="E75" i="20"/>
  <c r="G58" i="20" l="1"/>
  <c r="K58" i="20"/>
  <c r="O63" i="1"/>
  <c r="K63" i="1"/>
  <c r="H69" i="1"/>
  <c r="J63" i="1" l="1"/>
  <c r="E33" i="20" l="1"/>
  <c r="F33" i="20"/>
  <c r="I33" i="20"/>
  <c r="J33" i="20"/>
  <c r="O108" i="1"/>
  <c r="K108" i="1"/>
  <c r="J108" i="1"/>
  <c r="N95" i="1"/>
  <c r="J74" i="20" s="1"/>
  <c r="K74" i="20" s="1"/>
  <c r="M95" i="1"/>
  <c r="I74" i="20" s="1"/>
  <c r="H95" i="1"/>
  <c r="O94" i="1"/>
  <c r="K94" i="1"/>
  <c r="J94" i="1"/>
  <c r="O93" i="1"/>
  <c r="K93" i="1"/>
  <c r="J93" i="1"/>
  <c r="G93" i="1"/>
  <c r="K95" i="1" l="1"/>
  <c r="E74" i="20"/>
  <c r="O95" i="1"/>
  <c r="K33" i="20"/>
  <c r="G74" i="20"/>
  <c r="G33" i="20"/>
  <c r="J95" i="1"/>
  <c r="J162" i="1"/>
  <c r="J161" i="1"/>
  <c r="J159" i="1"/>
  <c r="J152" i="1"/>
  <c r="J151" i="1"/>
  <c r="J150" i="1"/>
  <c r="J149" i="1"/>
  <c r="J148" i="1"/>
  <c r="J147" i="1"/>
  <c r="J143" i="1"/>
  <c r="J142" i="1"/>
  <c r="J141" i="1"/>
  <c r="J140" i="1"/>
  <c r="J139" i="1"/>
  <c r="J138" i="1"/>
  <c r="J137" i="1"/>
  <c r="J131" i="1"/>
  <c r="J130" i="1"/>
  <c r="J129" i="1"/>
  <c r="J127" i="1"/>
  <c r="J125" i="1"/>
  <c r="J119" i="1"/>
  <c r="J118" i="1"/>
  <c r="J117" i="1"/>
  <c r="J114" i="1"/>
  <c r="J113" i="1"/>
  <c r="J109" i="1"/>
  <c r="J107" i="1"/>
  <c r="J106" i="1"/>
  <c r="J105" i="1"/>
  <c r="J104" i="1"/>
  <c r="J99" i="1"/>
  <c r="J89" i="1"/>
  <c r="J88" i="1"/>
  <c r="J84" i="1"/>
  <c r="J83" i="1"/>
  <c r="J82" i="1"/>
  <c r="J81" i="1"/>
  <c r="J80" i="1"/>
  <c r="J79" i="1"/>
  <c r="J78" i="1"/>
  <c r="J70" i="1"/>
  <c r="J69" i="1"/>
  <c r="J68" i="1"/>
  <c r="J62" i="1"/>
  <c r="J61" i="1"/>
  <c r="J56" i="1"/>
  <c r="J53" i="1"/>
  <c r="J52" i="1"/>
  <c r="J49" i="1"/>
  <c r="J45" i="1"/>
  <c r="J43" i="1"/>
  <c r="J38" i="1"/>
  <c r="J37" i="1"/>
  <c r="J36" i="1"/>
  <c r="J35" i="1"/>
  <c r="J34" i="1"/>
  <c r="J144" i="1" l="1"/>
  <c r="J153" i="1"/>
  <c r="J54" i="1"/>
  <c r="J163" i="1"/>
  <c r="J90" i="1"/>
  <c r="J85" i="1"/>
  <c r="J154" i="1" l="1"/>
  <c r="J128" i="1" l="1"/>
  <c r="J123" i="1"/>
  <c r="K38" i="1"/>
  <c r="O38" i="1"/>
  <c r="G4" i="20" l="1"/>
  <c r="F4" i="20"/>
  <c r="E4" i="20"/>
  <c r="J4" i="20"/>
  <c r="I4" i="20"/>
  <c r="O49" i="1"/>
  <c r="K49" i="1"/>
  <c r="J44" i="20"/>
  <c r="I44" i="20"/>
  <c r="F44" i="20"/>
  <c r="E44" i="20"/>
  <c r="G44" i="20" l="1"/>
  <c r="K44" i="20"/>
  <c r="J106" i="20" l="1"/>
  <c r="J103" i="20"/>
  <c r="J96" i="20"/>
  <c r="J95" i="20"/>
  <c r="J94" i="20"/>
  <c r="J93" i="20"/>
  <c r="J92" i="20"/>
  <c r="J91" i="20"/>
  <c r="J87" i="20"/>
  <c r="J86" i="20"/>
  <c r="J85" i="20"/>
  <c r="J84" i="20"/>
  <c r="J83" i="20"/>
  <c r="J82" i="20"/>
  <c r="J81" i="20"/>
  <c r="J67" i="20"/>
  <c r="J66" i="20"/>
  <c r="J65" i="20"/>
  <c r="J64" i="20"/>
  <c r="J63" i="20"/>
  <c r="J59" i="20"/>
  <c r="J57" i="20"/>
  <c r="J56" i="20"/>
  <c r="J51" i="20"/>
  <c r="J48" i="20"/>
  <c r="J47" i="20"/>
  <c r="J41" i="20"/>
  <c r="J40" i="20"/>
  <c r="J39" i="20"/>
  <c r="J38" i="20"/>
  <c r="J34" i="20"/>
  <c r="J32" i="20"/>
  <c r="J30" i="20"/>
  <c r="J29" i="20"/>
  <c r="J28" i="20"/>
  <c r="J24" i="20"/>
  <c r="J15" i="20"/>
  <c r="J11" i="20"/>
  <c r="J8" i="20"/>
  <c r="J7" i="20"/>
  <c r="I105" i="20"/>
  <c r="I103" i="20"/>
  <c r="I96" i="20"/>
  <c r="I95" i="20"/>
  <c r="I94" i="20"/>
  <c r="I93" i="20"/>
  <c r="I92" i="20"/>
  <c r="I91" i="20"/>
  <c r="I87" i="20"/>
  <c r="I86" i="20"/>
  <c r="I85" i="20"/>
  <c r="I84" i="20"/>
  <c r="I83" i="20"/>
  <c r="I82" i="20"/>
  <c r="I81" i="20"/>
  <c r="I67" i="20"/>
  <c r="I66" i="20"/>
  <c r="I65" i="20"/>
  <c r="I64" i="20"/>
  <c r="I63" i="20"/>
  <c r="I59" i="20"/>
  <c r="I57" i="20"/>
  <c r="I56" i="20"/>
  <c r="I51" i="20"/>
  <c r="I48" i="20"/>
  <c r="I47" i="20"/>
  <c r="I41" i="20"/>
  <c r="I40" i="20"/>
  <c r="I39" i="20"/>
  <c r="I38" i="20"/>
  <c r="I34" i="20"/>
  <c r="I32" i="20"/>
  <c r="I31" i="20"/>
  <c r="I30" i="20"/>
  <c r="I29" i="20"/>
  <c r="I28" i="20"/>
  <c r="I24" i="20"/>
  <c r="I19" i="20"/>
  <c r="I18" i="20"/>
  <c r="I16" i="20"/>
  <c r="I15" i="20"/>
  <c r="I11" i="20"/>
  <c r="I8" i="20"/>
  <c r="I7" i="20"/>
  <c r="O83" i="1"/>
  <c r="K83" i="1"/>
  <c r="J49" i="20" l="1"/>
  <c r="I88" i="20"/>
  <c r="I35" i="20"/>
  <c r="I12" i="20"/>
  <c r="I42" i="20"/>
  <c r="J88" i="20"/>
  <c r="J97" i="20"/>
  <c r="I49" i="20"/>
  <c r="I97" i="20"/>
  <c r="J12" i="20"/>
  <c r="J42" i="20"/>
  <c r="I98" i="20" l="1"/>
  <c r="J98" i="20"/>
  <c r="O118" i="1"/>
  <c r="K118" i="1"/>
  <c r="J7" i="1"/>
  <c r="H71" i="1"/>
  <c r="J71" i="1" s="1"/>
  <c r="H72" i="1"/>
  <c r="J72" i="1" s="1"/>
  <c r="H60" i="1"/>
  <c r="J60" i="1" s="1"/>
  <c r="H64" i="1"/>
  <c r="J64" i="1" s="1"/>
  <c r="H59" i="1"/>
  <c r="J59" i="1" s="1"/>
  <c r="J44" i="1"/>
  <c r="H46" i="1"/>
  <c r="J46" i="1" s="1"/>
  <c r="H39" i="1"/>
  <c r="J39" i="1" s="1"/>
  <c r="H33" i="1"/>
  <c r="J33" i="1" s="1"/>
  <c r="O80" i="1"/>
  <c r="K80" i="1"/>
  <c r="J40" i="1" l="1"/>
  <c r="J73" i="1"/>
  <c r="J47" i="1"/>
  <c r="J65" i="1"/>
  <c r="F28" i="20"/>
  <c r="F29" i="20"/>
  <c r="F30" i="20"/>
  <c r="F31" i="20"/>
  <c r="F32" i="20"/>
  <c r="F34" i="20"/>
  <c r="F38" i="20"/>
  <c r="F39" i="20"/>
  <c r="F40" i="20"/>
  <c r="F41" i="20"/>
  <c r="F47" i="20"/>
  <c r="F48" i="20"/>
  <c r="F51" i="20"/>
  <c r="F54" i="20"/>
  <c r="F55" i="20"/>
  <c r="F56" i="20"/>
  <c r="F57" i="20"/>
  <c r="F59" i="20"/>
  <c r="F63" i="20"/>
  <c r="F64" i="20"/>
  <c r="F65" i="20"/>
  <c r="F66" i="20"/>
  <c r="F67" i="20"/>
  <c r="F81" i="20"/>
  <c r="F82" i="20"/>
  <c r="F83" i="20"/>
  <c r="F84" i="20"/>
  <c r="F85" i="20"/>
  <c r="F86" i="20"/>
  <c r="F87" i="20"/>
  <c r="F91" i="20"/>
  <c r="F92" i="20"/>
  <c r="F93" i="20"/>
  <c r="F94" i="20"/>
  <c r="F95" i="20"/>
  <c r="F96" i="20"/>
  <c r="F103" i="20"/>
  <c r="F105" i="20"/>
  <c r="F106" i="20"/>
  <c r="F15" i="20"/>
  <c r="F16" i="20"/>
  <c r="F17" i="20"/>
  <c r="F18" i="20"/>
  <c r="F19" i="20"/>
  <c r="F7" i="20"/>
  <c r="F8" i="20"/>
  <c r="F9" i="20"/>
  <c r="F10" i="20"/>
  <c r="F11" i="20"/>
  <c r="F24" i="20"/>
  <c r="H126" i="1"/>
  <c r="E76" i="20" l="1"/>
  <c r="J126" i="1"/>
  <c r="J74" i="1"/>
  <c r="F42" i="20"/>
  <c r="F107" i="20"/>
  <c r="F60" i="20"/>
  <c r="F68" i="20"/>
  <c r="F49" i="20"/>
  <c r="F88" i="20"/>
  <c r="F97" i="20"/>
  <c r="F35" i="20"/>
  <c r="F69" i="20" l="1"/>
  <c r="F98" i="20"/>
  <c r="E106" i="20" l="1"/>
  <c r="G106" i="20" s="1"/>
  <c r="E105" i="20"/>
  <c r="E103" i="20"/>
  <c r="E95" i="20"/>
  <c r="E94" i="20"/>
  <c r="E93" i="20"/>
  <c r="E92" i="20"/>
  <c r="E91" i="20"/>
  <c r="E82" i="20"/>
  <c r="E83" i="20"/>
  <c r="E84" i="20"/>
  <c r="G84" i="20" s="1"/>
  <c r="E85" i="20"/>
  <c r="E86" i="20"/>
  <c r="E87" i="20"/>
  <c r="E81" i="20"/>
  <c r="E67" i="20"/>
  <c r="E66" i="20"/>
  <c r="E65" i="20"/>
  <c r="E64" i="20"/>
  <c r="E63" i="20"/>
  <c r="E59" i="20"/>
  <c r="E57" i="20"/>
  <c r="E55" i="20"/>
  <c r="E54" i="20"/>
  <c r="E51" i="20"/>
  <c r="E48" i="20"/>
  <c r="E47" i="20"/>
  <c r="E41" i="20"/>
  <c r="E40" i="20"/>
  <c r="E39" i="20"/>
  <c r="E38" i="20"/>
  <c r="E29" i="20"/>
  <c r="E30" i="20"/>
  <c r="E31" i="20"/>
  <c r="E32" i="20"/>
  <c r="E34" i="20"/>
  <c r="E28" i="20"/>
  <c r="G105" i="20"/>
  <c r="K96" i="20"/>
  <c r="G19" i="20"/>
  <c r="G18" i="20"/>
  <c r="G16" i="20"/>
  <c r="K10" i="20"/>
  <c r="E49" i="20" l="1"/>
  <c r="G41" i="20"/>
  <c r="G55" i="20"/>
  <c r="K11" i="20"/>
  <c r="G94" i="20"/>
  <c r="G82" i="20"/>
  <c r="G86" i="20"/>
  <c r="G38" i="20"/>
  <c r="G40" i="20"/>
  <c r="G59" i="20"/>
  <c r="G103" i="20"/>
  <c r="E88" i="20"/>
  <c r="E107" i="20"/>
  <c r="G92" i="20"/>
  <c r="G83" i="20"/>
  <c r="G87" i="20"/>
  <c r="G93" i="20"/>
  <c r="G91" i="20"/>
  <c r="G95" i="20"/>
  <c r="G85" i="20"/>
  <c r="G29" i="20"/>
  <c r="G34" i="20"/>
  <c r="G66" i="20"/>
  <c r="G28" i="20"/>
  <c r="G51" i="20"/>
  <c r="E35" i="20"/>
  <c r="G30" i="20"/>
  <c r="G57" i="20"/>
  <c r="G67" i="20"/>
  <c r="K30" i="20"/>
  <c r="G48" i="20"/>
  <c r="G64" i="20"/>
  <c r="E68" i="20"/>
  <c r="E42" i="20"/>
  <c r="G65" i="20"/>
  <c r="G39" i="20"/>
  <c r="G32" i="20"/>
  <c r="G31" i="20"/>
  <c r="K8" i="20"/>
  <c r="G102" i="20"/>
  <c r="G47" i="20"/>
  <c r="K87" i="20"/>
  <c r="K32" i="20"/>
  <c r="F20" i="20"/>
  <c r="G54" i="20"/>
  <c r="F12" i="20"/>
  <c r="G17" i="20"/>
  <c r="G81" i="20"/>
  <c r="G63" i="20"/>
  <c r="E56" i="20"/>
  <c r="G56" i="20" s="1"/>
  <c r="G49" i="20" l="1"/>
  <c r="G107" i="20"/>
  <c r="G35" i="20"/>
  <c r="E60" i="20"/>
  <c r="E69" i="20" s="1"/>
  <c r="G68" i="20"/>
  <c r="G42" i="20"/>
  <c r="G88" i="20"/>
  <c r="F21" i="20"/>
  <c r="G60" i="20" l="1"/>
  <c r="G69" i="20"/>
  <c r="E96" i="20" l="1"/>
  <c r="E97" i="20" l="1"/>
  <c r="E98" i="20" s="1"/>
  <c r="G98" i="20" s="1"/>
  <c r="G96" i="20"/>
  <c r="O127" i="1"/>
  <c r="K127" i="1"/>
  <c r="G97" i="20" l="1"/>
  <c r="G76" i="20"/>
  <c r="G117" i="1"/>
  <c r="G98" i="1"/>
  <c r="G88" i="1"/>
  <c r="H19" i="1"/>
  <c r="H18" i="1"/>
  <c r="H17" i="1"/>
  <c r="H16" i="1"/>
  <c r="H15" i="1"/>
  <c r="H8" i="1"/>
  <c r="H9" i="1"/>
  <c r="H10" i="1"/>
  <c r="H11" i="1"/>
  <c r="E15" i="20" l="1"/>
  <c r="G15" i="20" s="1"/>
  <c r="J15" i="1"/>
  <c r="E10" i="20"/>
  <c r="G10" i="20" s="1"/>
  <c r="J10" i="1"/>
  <c r="E16" i="20"/>
  <c r="J16" i="1"/>
  <c r="E9" i="20"/>
  <c r="G9" i="20" s="1"/>
  <c r="J9" i="1"/>
  <c r="E17" i="20"/>
  <c r="J17" i="1"/>
  <c r="E8" i="20"/>
  <c r="G8" i="20" s="1"/>
  <c r="J8" i="1"/>
  <c r="E18" i="20"/>
  <c r="J18" i="1"/>
  <c r="E11" i="20"/>
  <c r="G11" i="20" s="1"/>
  <c r="J11" i="1"/>
  <c r="E19" i="20"/>
  <c r="J19" i="1"/>
  <c r="G75" i="20"/>
  <c r="G78" i="1"/>
  <c r="H132" i="1" l="1"/>
  <c r="J124" i="1"/>
  <c r="J132" i="1" s="1"/>
  <c r="E20" i="20"/>
  <c r="G20" i="20" s="1"/>
  <c r="J20" i="1"/>
  <c r="J12" i="1"/>
  <c r="E7" i="20"/>
  <c r="D133" i="1"/>
  <c r="J21" i="1" l="1"/>
  <c r="E12" i="20"/>
  <c r="E21" i="20" s="1"/>
  <c r="G7" i="20"/>
  <c r="G21" i="20" l="1"/>
  <c r="G12" i="20"/>
  <c r="J116" i="1" l="1"/>
  <c r="J115" i="1"/>
  <c r="J120" i="1" l="1"/>
  <c r="J103" i="1"/>
  <c r="J110" i="1" s="1"/>
  <c r="J98" i="1"/>
  <c r="J100" i="1" s="1"/>
  <c r="J133" i="1" l="1"/>
  <c r="H27" i="1"/>
  <c r="J27" i="1" s="1"/>
  <c r="H26" i="1"/>
  <c r="J26" i="1" s="1"/>
  <c r="K9" i="20" l="1"/>
  <c r="K56" i="20"/>
  <c r="K24" i="20"/>
  <c r="J54" i="20"/>
  <c r="J55" i="20"/>
  <c r="J105" i="20"/>
  <c r="K105" i="20" s="1"/>
  <c r="I68" i="20"/>
  <c r="I54" i="20"/>
  <c r="I55" i="20"/>
  <c r="I17" i="20"/>
  <c r="I20" i="20" s="1"/>
  <c r="I21" i="20" s="1"/>
  <c r="I106" i="20"/>
  <c r="K106" i="20" s="1"/>
  <c r="K55" i="20" l="1"/>
  <c r="I107" i="20"/>
  <c r="I60" i="20"/>
  <c r="I69" i="20" s="1"/>
  <c r="J68" i="20"/>
  <c r="J60" i="20"/>
  <c r="K54" i="20"/>
  <c r="J107" i="20"/>
  <c r="K102" i="20"/>
  <c r="K7" i="20"/>
  <c r="K12" i="20"/>
  <c r="K103" i="20" l="1"/>
  <c r="K107" i="20"/>
  <c r="K92" i="20"/>
  <c r="K84" i="20"/>
  <c r="K91" i="20" l="1"/>
  <c r="K15" i="20"/>
  <c r="K59" i="20"/>
  <c r="K85" i="20"/>
  <c r="K93" i="20"/>
  <c r="K41" i="20"/>
  <c r="K51" i="20"/>
  <c r="K29" i="20"/>
  <c r="K95" i="20"/>
  <c r="K94" i="20"/>
  <c r="K86" i="20"/>
  <c r="K83" i="20"/>
  <c r="K82" i="20"/>
  <c r="K34" i="20"/>
  <c r="K67" i="20"/>
  <c r="K66" i="20"/>
  <c r="K65" i="20"/>
  <c r="K64" i="20"/>
  <c r="K48" i="20"/>
  <c r="K40" i="20"/>
  <c r="K97" i="20" l="1"/>
  <c r="K81" i="20"/>
  <c r="K68" i="20"/>
  <c r="K63" i="20"/>
  <c r="K57" i="20"/>
  <c r="K60" i="20"/>
  <c r="K49" i="20"/>
  <c r="K47" i="20"/>
  <c r="K38" i="20"/>
  <c r="K28" i="20"/>
  <c r="J31" i="20"/>
  <c r="J19" i="20"/>
  <c r="K19" i="20" s="1"/>
  <c r="J17" i="20"/>
  <c r="K17" i="20" s="1"/>
  <c r="J18" i="20"/>
  <c r="K18" i="20" s="1"/>
  <c r="J16" i="20"/>
  <c r="K75" i="20" l="1"/>
  <c r="J35" i="20"/>
  <c r="J69" i="20" s="1"/>
  <c r="K31" i="20"/>
  <c r="J20" i="20"/>
  <c r="K16" i="20"/>
  <c r="K98" i="20"/>
  <c r="K88" i="20"/>
  <c r="K76" i="20"/>
  <c r="K35" i="20" l="1"/>
  <c r="J21" i="20"/>
  <c r="K21" i="20" s="1"/>
  <c r="K20" i="20"/>
  <c r="K39" i="20"/>
  <c r="K42" i="20" l="1"/>
  <c r="K69" i="20"/>
  <c r="N54" i="1" l="1"/>
  <c r="M54" i="1"/>
  <c r="H54" i="1"/>
  <c r="O53" i="1"/>
  <c r="K53" i="1"/>
  <c r="O52" i="1"/>
  <c r="K52" i="1"/>
  <c r="O54" i="1" l="1"/>
  <c r="K54" i="1"/>
  <c r="K130" i="1" l="1"/>
  <c r="K103" i="1"/>
  <c r="K162" i="1"/>
  <c r="K161" i="1"/>
  <c r="K159" i="1"/>
  <c r="K152" i="1"/>
  <c r="K151" i="1"/>
  <c r="K150" i="1"/>
  <c r="K149" i="1"/>
  <c r="K148" i="1"/>
  <c r="K147" i="1"/>
  <c r="K143" i="1"/>
  <c r="K142" i="1"/>
  <c r="K141" i="1"/>
  <c r="K140" i="1"/>
  <c r="K139" i="1"/>
  <c r="K138" i="1"/>
  <c r="K137" i="1"/>
  <c r="K131" i="1"/>
  <c r="K128" i="1"/>
  <c r="K126" i="1"/>
  <c r="K125" i="1"/>
  <c r="K124" i="1"/>
  <c r="K119" i="1"/>
  <c r="K115" i="1"/>
  <c r="K114" i="1"/>
  <c r="K113" i="1"/>
  <c r="K109" i="1"/>
  <c r="K107" i="1"/>
  <c r="K106" i="1"/>
  <c r="K105" i="1"/>
  <c r="K104" i="1"/>
  <c r="K99" i="1"/>
  <c r="K98" i="1"/>
  <c r="K89" i="1"/>
  <c r="K88" i="1"/>
  <c r="K84" i="1"/>
  <c r="K82" i="1"/>
  <c r="K79" i="1"/>
  <c r="K72" i="1"/>
  <c r="K71" i="1"/>
  <c r="K70" i="1"/>
  <c r="K69" i="1"/>
  <c r="K68" i="1"/>
  <c r="K64" i="1"/>
  <c r="K62" i="1"/>
  <c r="K61" i="1"/>
  <c r="K60" i="1"/>
  <c r="K59" i="1"/>
  <c r="K56" i="1"/>
  <c r="K46" i="1"/>
  <c r="K45" i="1"/>
  <c r="K44" i="1"/>
  <c r="K43" i="1"/>
  <c r="K39" i="1"/>
  <c r="K37" i="1"/>
  <c r="K36" i="1"/>
  <c r="K35" i="1"/>
  <c r="K34" i="1"/>
  <c r="K33" i="1"/>
  <c r="K19" i="1"/>
  <c r="K18" i="1"/>
  <c r="K17" i="1"/>
  <c r="K16" i="1"/>
  <c r="K15" i="1"/>
  <c r="K11" i="1"/>
  <c r="K10" i="1"/>
  <c r="K9" i="1"/>
  <c r="K8" i="1"/>
  <c r="K7" i="1"/>
  <c r="O7" i="1"/>
  <c r="O162" i="1"/>
  <c r="O161" i="1"/>
  <c r="O159" i="1"/>
  <c r="O152" i="1"/>
  <c r="O151" i="1"/>
  <c r="O150" i="1"/>
  <c r="O149" i="1"/>
  <c r="O148" i="1"/>
  <c r="O147" i="1"/>
  <c r="O143" i="1"/>
  <c r="O142" i="1"/>
  <c r="O141" i="1"/>
  <c r="O140" i="1"/>
  <c r="O139" i="1"/>
  <c r="O138" i="1"/>
  <c r="O137" i="1"/>
  <c r="O131" i="1"/>
  <c r="O130" i="1"/>
  <c r="O129" i="1"/>
  <c r="O128" i="1"/>
  <c r="O126" i="1"/>
  <c r="O125" i="1"/>
  <c r="O124" i="1"/>
  <c r="O123" i="1"/>
  <c r="O119" i="1"/>
  <c r="O115" i="1"/>
  <c r="O114" i="1"/>
  <c r="O113" i="1"/>
  <c r="O109" i="1"/>
  <c r="O107" i="1"/>
  <c r="O106" i="1"/>
  <c r="O105" i="1"/>
  <c r="O104" i="1"/>
  <c r="O103" i="1"/>
  <c r="O99" i="1"/>
  <c r="O98" i="1"/>
  <c r="O89" i="1"/>
  <c r="O88" i="1"/>
  <c r="O84" i="1"/>
  <c r="O82" i="1"/>
  <c r="O81" i="1"/>
  <c r="O79" i="1"/>
  <c r="O72" i="1"/>
  <c r="O71" i="1"/>
  <c r="O70" i="1"/>
  <c r="O69" i="1"/>
  <c r="O68" i="1"/>
  <c r="O64" i="1"/>
  <c r="O62" i="1"/>
  <c r="O61" i="1"/>
  <c r="O60" i="1"/>
  <c r="O59" i="1"/>
  <c r="O56" i="1"/>
  <c r="O46" i="1"/>
  <c r="O45" i="1"/>
  <c r="O44" i="1"/>
  <c r="O43" i="1"/>
  <c r="O39" i="1"/>
  <c r="O37" i="1"/>
  <c r="O36" i="1"/>
  <c r="O35" i="1"/>
  <c r="O34" i="1"/>
  <c r="O33" i="1"/>
  <c r="O29" i="1"/>
  <c r="O19" i="1"/>
  <c r="O18" i="1"/>
  <c r="O17" i="1"/>
  <c r="O16" i="1"/>
  <c r="O15" i="1"/>
  <c r="O11" i="1"/>
  <c r="O10" i="1"/>
  <c r="O9" i="1"/>
  <c r="O8" i="1"/>
  <c r="N12" i="1"/>
  <c r="N20" i="1"/>
  <c r="N40" i="1"/>
  <c r="N47" i="1"/>
  <c r="N65" i="1"/>
  <c r="N73" i="1"/>
  <c r="N90" i="1"/>
  <c r="N100" i="1"/>
  <c r="N110" i="1"/>
  <c r="N132" i="1"/>
  <c r="N144" i="1"/>
  <c r="N153" i="1"/>
  <c r="N163" i="1"/>
  <c r="M163" i="1"/>
  <c r="M153" i="1"/>
  <c r="M144" i="1"/>
  <c r="M132" i="1"/>
  <c r="M120" i="1"/>
  <c r="M110" i="1"/>
  <c r="M100" i="1"/>
  <c r="M90" i="1"/>
  <c r="M85" i="1"/>
  <c r="M73" i="1"/>
  <c r="M65" i="1"/>
  <c r="M47" i="1"/>
  <c r="M40" i="1"/>
  <c r="M20" i="1"/>
  <c r="M12" i="1"/>
  <c r="H163" i="1"/>
  <c r="H153" i="1"/>
  <c r="H144" i="1"/>
  <c r="H110" i="1"/>
  <c r="H100" i="1"/>
  <c r="H90" i="1"/>
  <c r="H73" i="1"/>
  <c r="H65" i="1"/>
  <c r="H47" i="1"/>
  <c r="H40" i="1"/>
  <c r="H20" i="1"/>
  <c r="H12" i="1"/>
  <c r="I72" i="20" l="1"/>
  <c r="I77" i="20" s="1"/>
  <c r="I109" i="20" s="1"/>
  <c r="I110" i="20" s="1"/>
  <c r="H74" i="1"/>
  <c r="M133" i="1"/>
  <c r="N74" i="1"/>
  <c r="M74" i="1"/>
  <c r="K129" i="1"/>
  <c r="K65" i="1"/>
  <c r="K73" i="1"/>
  <c r="K100" i="1"/>
  <c r="K40" i="1"/>
  <c r="K20" i="1"/>
  <c r="M21" i="1"/>
  <c r="K163" i="1"/>
  <c r="K153" i="1"/>
  <c r="O100" i="1"/>
  <c r="O65" i="1"/>
  <c r="O20" i="1"/>
  <c r="K12" i="1"/>
  <c r="K47" i="1"/>
  <c r="K110" i="1"/>
  <c r="O47" i="1"/>
  <c r="O132" i="1"/>
  <c r="O90" i="1"/>
  <c r="O12" i="1"/>
  <c r="K144" i="1"/>
  <c r="O163" i="1"/>
  <c r="K90" i="1"/>
  <c r="O144" i="1"/>
  <c r="O153" i="1"/>
  <c r="O110" i="1"/>
  <c r="O73" i="1"/>
  <c r="O40" i="1"/>
  <c r="N154" i="1"/>
  <c r="N21" i="1"/>
  <c r="M154" i="1"/>
  <c r="H154" i="1"/>
  <c r="H21" i="1"/>
  <c r="H25" i="1" s="1"/>
  <c r="H28" i="1" l="1"/>
  <c r="J28" i="1" s="1"/>
  <c r="J29" i="1" s="1"/>
  <c r="J165" i="1" s="1"/>
  <c r="J166" i="1" s="1"/>
  <c r="J25" i="1"/>
  <c r="O21" i="1"/>
  <c r="M165" i="1"/>
  <c r="M166" i="1" s="1"/>
  <c r="K21" i="1"/>
  <c r="K154" i="1"/>
  <c r="O74" i="1"/>
  <c r="O154" i="1"/>
  <c r="H29" i="1" l="1"/>
  <c r="K74" i="1"/>
  <c r="E24" i="20" l="1"/>
  <c r="K29" i="1"/>
  <c r="K123" i="1"/>
  <c r="G24" i="20" l="1"/>
  <c r="K132" i="1"/>
  <c r="K78" i="1" l="1"/>
  <c r="K81" i="1" l="1"/>
  <c r="H85" i="1"/>
  <c r="K85" i="1" l="1"/>
  <c r="N85" i="1" l="1"/>
  <c r="O78" i="1"/>
  <c r="O85" i="1" l="1"/>
  <c r="K117" i="1" l="1"/>
  <c r="K116" i="1"/>
  <c r="H120" i="1"/>
  <c r="E72" i="20" s="1"/>
  <c r="H133" i="1" l="1"/>
  <c r="K133" i="1" s="1"/>
  <c r="E77" i="20"/>
  <c r="E109" i="20" s="1"/>
  <c r="E110" i="20" s="1"/>
  <c r="K120" i="1"/>
  <c r="G72" i="20" l="1"/>
  <c r="O117" i="1"/>
  <c r="H165" i="1"/>
  <c r="H166" i="1" s="1"/>
  <c r="F77" i="20" l="1"/>
  <c r="K165" i="1"/>
  <c r="N120" i="1"/>
  <c r="J72" i="20" s="1"/>
  <c r="O116" i="1"/>
  <c r="K72" i="20" l="1"/>
  <c r="N133" i="1"/>
  <c r="G77" i="20"/>
  <c r="J77" i="20"/>
  <c r="F109" i="20"/>
  <c r="F110" i="20" s="1"/>
  <c r="O120" i="1"/>
  <c r="J109" i="20" l="1"/>
  <c r="J110" i="20" s="1"/>
  <c r="K110" i="20" s="1"/>
  <c r="G109" i="20"/>
  <c r="K77" i="20"/>
  <c r="N165" i="1"/>
  <c r="O133" i="1"/>
  <c r="K109" i="20" l="1"/>
  <c r="O165" i="1"/>
  <c r="N166" i="1"/>
  <c r="O166" i="1" s="1"/>
</calcChain>
</file>

<file path=xl/comments1.xml><?xml version="1.0" encoding="utf-8"?>
<comments xmlns="http://schemas.openxmlformats.org/spreadsheetml/2006/main">
  <authors>
    <author>Jacobson, Dawn M.</author>
  </authors>
  <commentList>
    <comment ref="E75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</commentList>
</comments>
</file>

<file path=xl/comments2.xml><?xml version="1.0" encoding="utf-8"?>
<comments xmlns="http://schemas.openxmlformats.org/spreadsheetml/2006/main">
  <authors>
    <author>Jacobson, Dawn M.</author>
  </authors>
  <commentList>
    <comment ref="H104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</t>
        </r>
      </text>
    </comment>
  </commentList>
</comments>
</file>

<file path=xl/sharedStrings.xml><?xml version="1.0" encoding="utf-8"?>
<sst xmlns="http://schemas.openxmlformats.org/spreadsheetml/2006/main" count="376" uniqueCount="257">
  <si>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</si>
  <si>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</si>
  <si>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</si>
  <si>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</si>
  <si>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</si>
  <si>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</si>
  <si>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</si>
  <si>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</si>
  <si>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</si>
  <si>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</si>
  <si>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</si>
  <si>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</si>
  <si>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</si>
  <si>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</si>
  <si>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</si>
  <si>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</si>
  <si>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</si>
  <si>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</si>
  <si>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</si>
  <si>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</si>
  <si>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</si>
  <si>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</si>
  <si>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</si>
  <si>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Worship Supplies</t>
  </si>
  <si>
    <t>Saturday Nite Lite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</si>
  <si>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</si>
  <si>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</si>
  <si>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</si>
  <si>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</si>
  <si>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</si>
  <si>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</si>
  <si>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</si>
  <si>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</si>
  <si>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</si>
  <si>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</si>
  <si>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</si>
  <si>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</si>
  <si>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</si>
  <si>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</si>
  <si>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</si>
  <si>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</si>
  <si>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</si>
  <si>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</si>
  <si>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</si>
  <si>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</si>
  <si>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</si>
  <si>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</si>
  <si>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</si>
  <si>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</si>
  <si>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</si>
  <si>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</si>
  <si>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Total Support Pastor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</si>
  <si>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</si>
  <si>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</si>
  <si>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</si>
  <si>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</si>
  <si>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</si>
  <si>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</si>
  <si>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</si>
  <si>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</si>
  <si>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</si>
  <si>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</si>
  <si>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</si>
  <si>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</si>
  <si>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</si>
  <si>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</si>
  <si>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</si>
  <si>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</si>
  <si>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</si>
  <si>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</si>
  <si>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</si>
  <si>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</si>
  <si>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</si>
  <si>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</si>
  <si>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</si>
  <si>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</si>
  <si>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</si>
  <si>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</si>
  <si>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</si>
  <si>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</si>
  <si>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</si>
  <si>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</si>
  <si>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</si>
  <si>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</si>
  <si>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</si>
  <si>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</si>
  <si>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</si>
  <si>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</si>
  <si>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</si>
  <si>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Misc Expense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</si>
  <si>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</si>
  <si>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</si>
  <si>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</si>
  <si>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</si>
  <si>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</si>
  <si>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</si>
  <si>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</si>
  <si>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</si>
  <si>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</si>
  <si>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Parish Secretary (full time)</t>
  </si>
  <si>
    <t>TOTAL PROGRAMS</t>
  </si>
  <si>
    <t>Total Church Membership</t>
  </si>
  <si>
    <t>Sunday Coffee</t>
  </si>
  <si>
    <t>Hold at 10%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</si>
  <si>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</si>
  <si>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</si>
  <si>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</si>
  <si>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</si>
  <si>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</si>
  <si>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</si>
  <si>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Month</t>
  </si>
  <si>
    <t>Current Year</t>
  </si>
  <si>
    <t>January = 1</t>
  </si>
  <si>
    <t>Maint.  Supplies</t>
  </si>
  <si>
    <t>Salary Calc Estimate</t>
  </si>
  <si>
    <t>Staff Contingency</t>
  </si>
  <si>
    <t>Requested $200 - this is for the interfaith coalition advertising cost</t>
  </si>
  <si>
    <t>Maintenance Contracts</t>
  </si>
  <si>
    <t>Other Benefits and taxes</t>
  </si>
  <si>
    <t>Non Staff costs</t>
  </si>
  <si>
    <t>Increase for Staff</t>
  </si>
  <si>
    <t>Increase for Music</t>
  </si>
  <si>
    <t>Total Staff</t>
  </si>
  <si>
    <t>City Assessment</t>
  </si>
  <si>
    <t>Recommend aggregating salaries as the Synod and other churches do</t>
  </si>
  <si>
    <t>2016 Budget</t>
  </si>
  <si>
    <t>Same as 2015 budget</t>
  </si>
  <si>
    <t>Same as 2015</t>
  </si>
  <si>
    <t>This is an assessment for the parking lot</t>
  </si>
  <si>
    <t>Same as 2015:  Recycle, Garbage, Fire Extinquishers, Elevator, Phone lines, pest control</t>
  </si>
  <si>
    <t>Tax Allowance</t>
  </si>
  <si>
    <t>Requesting $400</t>
  </si>
  <si>
    <t>3.0% increase over 2015 budget</t>
  </si>
  <si>
    <t>Youth Choir Accompianist</t>
  </si>
  <si>
    <t xml:space="preserve"> 2016 Budget Notes</t>
  </si>
  <si>
    <t>Increased to support the new visitation role Janice will be doing</t>
  </si>
  <si>
    <t>1% (not 3% to cover Youth Choir Accompianist)</t>
  </si>
  <si>
    <t>New in 2016 - $100 per month for practise sessions</t>
  </si>
  <si>
    <t>$150 for Sunday or $200 for Saturday (backup Pastor)</t>
  </si>
  <si>
    <t>$913/Month for 2015 plus more for extra cold weather (same as 2015)</t>
  </si>
  <si>
    <t>$498 per month for Phones, Internet, Fax Machine (same as 2015)</t>
  </si>
  <si>
    <t>Use any excess to pay off line of credit and build a facilities fund</t>
  </si>
  <si>
    <t>Per Letter of Call</t>
  </si>
  <si>
    <t>Per Letter of Call - Paid per milage submitted</t>
  </si>
  <si>
    <t>Business Expenses</t>
  </si>
  <si>
    <t>3.0% increase over 2015 budget (Larger per service increase given change in # of services)</t>
  </si>
  <si>
    <t>QUESTION:  Were there more mailings?  In first quarter?  Likely more mailings given the calling of the new pastor</t>
  </si>
  <si>
    <t>QUESTION:  Kim, please provide an estimate.  Keep the same for 2016</t>
  </si>
  <si>
    <t>QUESTION:  What is the expected cost with the new card system?  Not know at this point.  Need followup with Trustees.  $3,300 is otherwise a good estimate with existing security (includes patrols)</t>
  </si>
  <si>
    <t>Increased for communion each week but reduced for no bubbles.  QUESTION:  What should be the budget?
  We need the input from the Deacons.  Reduction of services plus communion each week</t>
  </si>
  <si>
    <t>Baptismal Font project $3,000</t>
  </si>
  <si>
    <t>Increase 0% from 2015 budget</t>
  </si>
  <si>
    <t>Meal for family</t>
  </si>
  <si>
    <t>Adult Education</t>
  </si>
  <si>
    <t>Used to be PACE</t>
  </si>
  <si>
    <t>Mission Chaparon Fees $3,000 and $7000 Youth costs.  Increased $1,000 for Pizza with Pastor and other programs</t>
  </si>
  <si>
    <t>Membership needs to be told who is doing this?</t>
  </si>
  <si>
    <t>Paper, Pens, bulletin covers for funeral services - 
QUESTON:  Why is is so high through August?  Resupply of Bank checks, order of blinds for Pastor's office and Office Supply Set-up of office all abouut $1,500</t>
  </si>
  <si>
    <t>Lease payments $484 x2 x month plus copy costs
QUESTION:  What is driving higher costs this year? Rotating 1 computer per year (Secr, Kim, Janice, Director of Communication, Christain Education, Pastor).  Plus software</t>
  </si>
  <si>
    <t>Director of Communications</t>
  </si>
  <si>
    <t>Same as 2015
QUESTION:  Why has nothing been paid this year to date yet?  Donated time through Sept.  So starting in Sept will be paid</t>
  </si>
  <si>
    <t>4 hours per week Sept-May (less Lent)</t>
  </si>
  <si>
    <t>$1,000/Month in second 1/2 of 2015 and $1500/month for 2016</t>
  </si>
  <si>
    <t>Director of Traditional Worship</t>
  </si>
  <si>
    <t>Staff Gift Cards at Christmas - anyone who gets a paycheck equally</t>
  </si>
  <si>
    <t>Flutist $200/month - same as 2015
QUESTON:  Why only $400 through August 2015?  Flutist was covering for the organist so it was reported there for 2015.  $50/week has been budgeted.</t>
  </si>
  <si>
    <t>Assumes 17 hrs/week for 52 Weeks at $14.28/hour
QUESTION:  Confirm hours and rate.  Confirmed.  Increased 1% brings hourly rate to $14.42/hour for 2016 - new staff</t>
  </si>
  <si>
    <t>Do we plan to have the gowns?  Not significant $ so leave as committee requested</t>
  </si>
  <si>
    <t>Pastor</t>
  </si>
  <si>
    <t>QUESTON:  Kim, please provide an estimate (from ELC Board of Pensions).  This is dependent on Pasor's Elections with Portico.  Election deadline is October 30.  Kim provided $26,772.72 (email from Jay W. 11/17/2015)</t>
  </si>
  <si>
    <t>QUESTON:  Kim, please provide an estimate.  This is dependent on Pasor's Elections with Portico.  Election deadline is October 30.  It will be zero for Paster per Kim (email from Jay W. 11/17/2015)</t>
  </si>
  <si>
    <t>QUESTON:  Kim, please provide an estimate (from ELC Board of Pensions).  This is dependent on Pasor's Elections with Portico.  Election deadline is October 30.  Kim provided $5,754.38 (email from Jay W.  11/17/2015)</t>
  </si>
  <si>
    <t>QUESTON:  Kim, please provide an estimate.  This is dependent on Janice's Elections with Portico.  Election deadline is October 30.  Kim provided $3,298 (email from Jay W.  11/17/2015)</t>
  </si>
  <si>
    <t>QUESTION:  Kim, can you provide an estimate?  $3,300 for 2016.  FOLLOW UP - what is causing the increase?  Per Kim (email from Jay W.  11/17/2015):  Janice and Dori are $90/month and Pastor is $95/month = $275/month or $3,300 annually</t>
  </si>
  <si>
    <t>Flutist and Extra Music</t>
  </si>
  <si>
    <t>QUESTON:  Kim, please provide an estimate.  Use 2015 budget - may go down slightly but not likely.  Does this account for the new Director of Communications position?  Answer: Yes, offset by Dr Miritz</t>
  </si>
  <si>
    <t>QUESTON:  What is the hours/week and rate per hour?  30 hours/week for 52 weeks at $12.00/hour.  Increased 1% brings hourly rate to $12.12 for 2016</t>
  </si>
  <si>
    <t>Total adjusted Expected Income</t>
  </si>
  <si>
    <t>Per Letter of Call - Synod expenses go under Misc. Programs</t>
  </si>
  <si>
    <t>Support Pastor</t>
  </si>
  <si>
    <t>Total Director of Communications</t>
  </si>
  <si>
    <t>Staff Salary and Wages *</t>
  </si>
  <si>
    <t>New Positions for 2016:</t>
  </si>
  <si>
    <t>Staff meeting lunches - Per Pastor's Letter of Call</t>
  </si>
  <si>
    <t>Misc Expenses</t>
  </si>
  <si>
    <t>This is to cover Advent Lunches (where sometimes the goodwill offerring is not enough), and other like approved expenses.</t>
  </si>
  <si>
    <t>$1,200 for Joe and then $300 for others to cover off weeks (removed $2,870 for Media and moved to $1,000 to Evangelism and the rest to the line of credit)</t>
  </si>
  <si>
    <t>Evangelism campaign (yard signs, mailing).  Third week of September.  Includes the old Advertising line, $2,000 from postage (not planning the large mailing in 2016) and $1,000 from Projection/ Media Development to support the redesign of the website</t>
  </si>
  <si>
    <t>QUESTON:  Kim, please provide an estimate.  Email from Jay W. (working with Kim) 12/1/2015, should be $12,550,  Reduced $382.50 for Director of Christian Eductation - per Kim</t>
  </si>
  <si>
    <t>$</t>
  </si>
  <si>
    <t>%</t>
  </si>
  <si>
    <t>2017 Budget</t>
  </si>
  <si>
    <t>2016 Year to Date (YTD)</t>
  </si>
  <si>
    <t>QUESTION:  Need to know where this will be in 2016.  Carthage College.  Pastor will check into this furtherl.  4 lay voting members and 2 rostered leaders = $1,200</t>
  </si>
  <si>
    <t>QUESTON:  Need Final estimate from Kim.  $1,650 is fine provided no additional draws are made nor interest rate increasing.</t>
  </si>
  <si>
    <t>Use any excess to pay off line of credit and build a facilities fund
QUESTON:  Kim, what is the balance at end of December for the Line of credit?  $32,172.83</t>
  </si>
  <si>
    <t xml:space="preserve"> 2017 Budget Notes</t>
  </si>
  <si>
    <t>Deacon</t>
  </si>
  <si>
    <t>Projectionist</t>
  </si>
  <si>
    <t>Includes Tuning</t>
  </si>
  <si>
    <t>Organ/Piano Maintenance</t>
  </si>
  <si>
    <t>2016 Budget vs 
2015 Budget</t>
  </si>
  <si>
    <t>A good amount through August was Image Management for the Website and phone app.  FOLLOW UP:   Jerry Tapp wish list for website (Neal) and start-up costs on for the on-line giving (Paul)</t>
  </si>
  <si>
    <t>Same as last year</t>
  </si>
  <si>
    <t>Sames as last year</t>
  </si>
  <si>
    <t>Dirctor of Youth Ministry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</si>
  <si>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</si>
  <si>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</si>
  <si>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</si>
  <si>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</si>
  <si>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</si>
  <si>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</si>
  <si>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</si>
  <si>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</si>
  <si>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</si>
  <si>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</si>
  <si>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</si>
  <si>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</si>
  <si>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</si>
  <si>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Saturday Nite Services/Holden &amp; Hymn</t>
  </si>
  <si>
    <t>Added assumption for Country Inn in Waukesha (2 nights at $150/night for 5 people) plus the $1,200 for the Conference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</si>
  <si>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</si>
  <si>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</si>
  <si>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</si>
  <si>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</si>
  <si>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</si>
  <si>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</si>
  <si>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</si>
  <si>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</si>
  <si>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</si>
  <si>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</si>
  <si>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</si>
  <si>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</si>
  <si>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</si>
  <si>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</si>
  <si>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</si>
  <si>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</si>
  <si>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</si>
  <si>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</si>
  <si>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</si>
  <si>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</si>
  <si>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</si>
  <si>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</si>
  <si>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Oct YTD Actual</t>
  </si>
  <si>
    <t>Oct YTD Budget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</si>
  <si>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</si>
  <si>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</si>
  <si>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</si>
  <si>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</si>
  <si>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</si>
  <si>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 xml:space="preserve">     Support Pastors</t>
  </si>
  <si>
    <t>New Pastor Call Reserve</t>
  </si>
  <si>
    <t>*    Excludes new positions but does include salary increases.  Increases will be distributed based on annual performance reviews.</t>
  </si>
  <si>
    <t>Facilities Fund Reserve</t>
  </si>
  <si>
    <t>Worship</t>
  </si>
  <si>
    <t>Total Worship</t>
  </si>
  <si>
    <t>Total Deacon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</si>
</sst>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44" fontId="9" fillId="0" borderId="0" xfId="1" applyNumberFormat="1" applyFont="1" applyAlignment="1">
      <alignment vertical="center"/>
    </xf>
    <xf numFmtId="0" fontId="11" fillId="0" borderId="0" xfId="0" applyFont="1"/>
    <xf numFmtId="0" fontId="12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10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 vertical="center" wrapText="1"/>
    </xf>
    <xf numFmtId="165" fontId="13" fillId="7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14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9" borderId="0" xfId="1" applyNumberFormat="1" applyFont="1" applyFill="1" applyAlignment="1">
      <alignment horizontal="left" vertical="center" wrapText="1"/>
    </xf>
    <xf numFmtId="165" fontId="16" fillId="9" borderId="0" xfId="2" applyNumberFormat="1" applyFont="1" applyFill="1" applyAlignment="1">
      <alignment horizontal="right" vertical="center" wrapText="1"/>
    </xf>
    <xf numFmtId="164" fontId="17" fillId="0" borderId="0" xfId="1" applyNumberFormat="1" applyFont="1" applyAlignment="1">
      <alignment vertical="center"/>
    </xf>
    <xf numFmtId="164" fontId="14" fillId="0" borderId="0" xfId="1" applyNumberFormat="1" applyFont="1" applyAlignment="1">
      <alignment horizontal="right" vertical="center"/>
    </xf>
    <xf numFmtId="164" fontId="16" fillId="8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164" fontId="9" fillId="0" borderId="0" xfId="1" quotePrefix="1" applyNumberFormat="1" applyFont="1" applyAlignment="1">
      <alignment horizontal="center" vertical="center" wrapText="1"/>
    </xf>
    <xf numFmtId="164" fontId="9" fillId="10" borderId="0" xfId="1" applyNumberFormat="1" applyFont="1" applyFill="1" applyAlignment="1">
      <alignment horizontal="center" vertical="center" wrapText="1"/>
    </xf>
    <xf numFmtId="164" fontId="16" fillId="3" borderId="0" xfId="1" applyNumberFormat="1" applyFont="1" applyFill="1" applyAlignment="1">
      <alignment vertical="center"/>
    </xf>
    <xf numFmtId="164" fontId="16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6" fillId="0" borderId="3" xfId="1" applyNumberFormat="1" applyFont="1" applyBorder="1" applyAlignment="1">
      <alignment horizontal="center" vertical="center" wrapText="1"/>
    </xf>
    <xf numFmtId="164" fontId="18" fillId="0" borderId="0" xfId="1" applyNumberFormat="1" applyFont="1" applyAlignment="1">
      <alignment vertical="center"/>
    </xf>
    <xf numFmtId="164" fontId="18" fillId="3" borderId="0" xfId="1" applyNumberFormat="1" applyFont="1" applyFill="1" applyAlignment="1">
      <alignment vertical="center"/>
    </xf>
    <xf numFmtId="164" fontId="18" fillId="0" borderId="0" xfId="1" applyNumberFormat="1" applyFont="1" applyFill="1" applyAlignment="1">
      <alignment vertical="center"/>
    </xf>
    <xf numFmtId="164" fontId="10" fillId="9" borderId="0" xfId="1" applyNumberFormat="1" applyFont="1" applyFill="1" applyAlignment="1">
      <alignment horizontal="center" vertical="center" wrapText="1"/>
    </xf>
    <xf numFmtId="9" fontId="0" fillId="0" borderId="0" xfId="2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164" fontId="15" fillId="0" borderId="0" xfId="1" applyNumberFormat="1" applyFont="1" applyAlignment="1">
      <alignment horizontal="left" vertical="center" wrapText="1"/>
    </xf>
    <xf numFmtId="164" fontId="10" fillId="0" borderId="0" xfId="1" applyNumberFormat="1" applyFont="1" applyAlignment="1">
      <alignment horizontal="left" vertical="center" wrapText="1"/>
    </xf>
    <xf numFmtId="164" fontId="13" fillId="0" borderId="0" xfId="1" applyNumberFormat="1" applyFont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center" wrapText="1"/>
    </xf>
    <xf numFmtId="0" fontId="19" fillId="0" borderId="0" xfId="0" applyFont="1" applyAlignment="1">
      <alignment horizontal="left"/>
    </xf>
    <xf numFmtId="164" fontId="9" fillId="10" borderId="0" xfId="1" applyNumberFormat="1" applyFont="1" applyFill="1" applyAlignment="1">
      <alignment horizontal="left" vertical="center" wrapText="1"/>
    </xf>
    <xf numFmtId="164" fontId="9" fillId="0" borderId="0" xfId="1" quotePrefix="1" applyNumberFormat="1" applyFont="1" applyAlignment="1">
      <alignment horizontal="left" vertical="center" wrapText="1"/>
    </xf>
    <xf numFmtId="164" fontId="9" fillId="0" borderId="0" xfId="1" quotePrefix="1" applyNumberFormat="1" applyFont="1" applyFill="1" applyAlignment="1">
      <alignment horizontal="left" vertical="center" wrapText="1"/>
    </xf>
    <xf numFmtId="164" fontId="15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9" fillId="0" borderId="0" xfId="1" quotePrefix="1" applyNumberFormat="1" applyFont="1" applyFill="1" applyAlignment="1">
      <alignment horizontal="left" vertical="center" wrapText="1"/>
    </xf>
    <xf numFmtId="164" fontId="18" fillId="9" borderId="0" xfId="1" applyNumberFormat="1" applyFont="1" applyFill="1" applyAlignment="1">
      <alignment vertical="center"/>
    </xf>
    <xf numFmtId="164" fontId="1" fillId="0" borderId="0" xfId="1" applyNumberFormat="1" applyFont="1" applyAlignment="1">
      <alignment horizontal="left" vertical="center" wrapText="1"/>
    </xf>
    <xf numFmtId="164" fontId="0" fillId="0" borderId="0" xfId="1" quotePrefix="1" applyNumberFormat="1" applyFont="1" applyAlignment="1">
      <alignment vertical="center"/>
    </xf>
    <xf numFmtId="164" fontId="0" fillId="0" borderId="0" xfId="1" quotePrefix="1" applyNumberFormat="1" applyFont="1" applyAlignment="1">
      <alignment vertical="center" wrapText="1"/>
    </xf>
    <xf numFmtId="13" fontId="0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164" fontId="9" fillId="9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 wrapText="1"/>
    </xf>
    <xf numFmtId="1" fontId="16" fillId="7" borderId="4" xfId="1" applyNumberFormat="1" applyFont="1" applyFill="1" applyBorder="1" applyAlignment="1">
      <alignment horizontal="center" vertical="center"/>
    </xf>
    <xf numFmtId="1" fontId="16" fillId="7" borderId="6" xfId="1" applyNumberFormat="1" applyFont="1" applyFill="1" applyBorder="1" applyAlignment="1">
      <alignment horizontal="center" vertical="center"/>
    </xf>
    <xf numFmtId="1" fontId="16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center" vertical="center" wrapText="1"/>
    </xf>
    <xf numFmtId="164" fontId="16" fillId="0" borderId="9" xfId="1" applyNumberFormat="1" applyFont="1" applyBorder="1" applyAlignment="1">
      <alignment horizontal="center" vertical="center" wrapText="1"/>
    </xf>
    <xf numFmtId="164" fontId="16" fillId="0" borderId="6" xfId="1" applyNumberFormat="1" applyFont="1" applyBorder="1" applyAlignment="1">
      <alignment horizontal="center" vertical="center" wrapText="1"/>
    </xf>
    <xf numFmtId="164" fontId="16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CCCC00"/>
      <color rgb="FFFFFF99"/>
      <color rgb="FFF8F8F8"/>
      <color rgb="FFCCFFCC"/>
      <color rgb="FFFFFFCC"/>
      <color rgb="FF808000"/>
      <color rgb="FFFFCC66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5"/>
  <sheetViews>
    <sheetView showGridLines="0" workbookViewId="0">
      <selection activeCell="C2" sqref="C2"/>
    </sheetView>
  </sheetViews>
  <sheetFormatPr defaultColWidth="9.109375" defaultRowHeight="23.4" x14ac:dyDescent="0.45"/>
  <cols>
    <col min="1" max="1" width="23.109375" style="46" customWidth="1"/>
    <col min="2" max="16384" width="9.109375" style="46"/>
  </cols>
  <sheetData>
    <row r="2" spans="1:4" x14ac:dyDescent="0.45">
      <c r="A2" s="46" t="s">
        <v>111</v>
      </c>
      <c r="C2" s="47">
        <v>2014</v>
      </c>
    </row>
    <row r="5" spans="1:4" x14ac:dyDescent="0.45">
      <c r="A5" s="46" t="s">
        <v>110</v>
      </c>
      <c r="C5" s="47">
        <v>9</v>
      </c>
      <c r="D5" s="46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30"/>
  <sheetViews>
    <sheetView showGridLines="0" tabSelected="1" topLeftCell="B1" zoomScaleNormal="100" workbookViewId="0">
      <selection activeCell="B1" sqref="B1:K1"/>
    </sheetView>
  </sheetViews>
  <sheetFormatPr defaultColWidth="9.109375" defaultRowHeight="14.4" x14ac:dyDescent="0.3"/>
  <cols>
    <col min="1" max="1" width="4.44140625" style="48" hidden="1" customWidth="1"/>
    <col min="2" max="2" width="4.33203125" style="4" customWidth="1"/>
    <col min="3" max="3" width="9.109375" style="1"/>
    <col min="4" max="4" width="25.109375" style="1" customWidth="1"/>
    <col min="5" max="6" width="12.109375" style="1" customWidth="1"/>
    <col min="7" max="7" width="12.5546875" style="1" customWidth="1"/>
    <col min="8" max="8" width="2.5546875" style="1" customWidth="1"/>
    <col min="9" max="9" width="12.5546875" style="1" bestFit="1" customWidth="1"/>
    <col min="10" max="10" width="11.6640625" style="1" customWidth="1"/>
    <col min="11" max="11" width="10" style="42" bestFit="1" customWidth="1"/>
    <col min="12" max="12" width="10" style="1" bestFit="1" customWidth="1"/>
    <col min="13" max="13" width="9.109375" style="1"/>
    <col min="14" max="14" width="13.44140625" style="1" customWidth="1"/>
    <col min="15" max="15" width="9.5546875" style="1" bestFit="1" customWidth="1"/>
    <col min="16" max="16384" width="9.109375" style="1"/>
  </cols>
  <sheetData>
    <row r="1" spans="1:11" ht="41.25" customHeight="1" x14ac:dyDescent="0.3">
      <c r="B1" s="104" t="s">
        <v>97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1:11" ht="8.25" customHeight="1" x14ac:dyDescent="0.3"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8" customHeight="1" x14ac:dyDescent="0.3">
      <c r="E3" s="109" t="s">
        <v>96</v>
      </c>
      <c r="F3" s="110"/>
      <c r="G3" s="111"/>
      <c r="I3" s="106" t="str">
        <f>+'New Year-Full Year'!M2</f>
        <v>2016 Year to Date (YTD)</v>
      </c>
      <c r="J3" s="107"/>
      <c r="K3" s="108"/>
    </row>
    <row r="4" spans="1:11" s="4" customFormat="1" ht="44.25" customHeight="1" x14ac:dyDescent="0.3">
      <c r="A4" s="49"/>
      <c r="E4" s="51" t="str">
        <f>+'New Year-Full Year'!H3</f>
        <v>2017 Budget</v>
      </c>
      <c r="F4" s="44" t="str">
        <f>+'New Year-Full Year'!I3</f>
        <v>2016 Budget</v>
      </c>
      <c r="G4" s="52" t="str">
        <f>+'New Year-Full Year'!K4</f>
        <v>%</v>
      </c>
      <c r="I4" s="2" t="str">
        <f>+'New Year-Full Year'!M3</f>
        <v>Oct YTD Actual</v>
      </c>
      <c r="J4" s="41" t="str">
        <f>+'New Year-Full Year'!N3</f>
        <v>Oct YTD Budget</v>
      </c>
      <c r="K4" s="3" t="s">
        <v>95</v>
      </c>
    </row>
    <row r="5" spans="1:11" s="4" customFormat="1" ht="18" x14ac:dyDescent="0.3">
      <c r="A5" s="49"/>
      <c r="B5" s="9" t="s">
        <v>0</v>
      </c>
      <c r="E5" s="10"/>
      <c r="F5" s="43"/>
      <c r="G5" s="43"/>
      <c r="I5" s="43"/>
      <c r="J5" s="43"/>
      <c r="K5" s="43"/>
    </row>
    <row r="6" spans="1:11" x14ac:dyDescent="0.3">
      <c r="A6" s="48">
        <v>1</v>
      </c>
      <c r="B6" s="4" t="s">
        <v>1</v>
      </c>
    </row>
    <row r="7" spans="1:11" x14ac:dyDescent="0.3">
      <c r="A7" s="48">
        <v>2</v>
      </c>
      <c r="C7" s="1" t="s">
        <v>1</v>
      </c>
      <c r="E7" s="40">
        <f>+'New Year-Full Year'!H7</f>
        <v>520000</v>
      </c>
      <c r="F7" s="40">
        <f>+'New Year-Full Year'!I7</f>
        <v>536137</v>
      </c>
      <c r="G7" s="6">
        <f t="shared" ref="G7:G12" si="0">IF(F7=0,"NA",(+E7-F7)/F7)</f>
        <v>-3.0098650158448308E-2</v>
      </c>
      <c r="I7" s="40">
        <f>+'New Year-Full Year'!M7</f>
        <v>479423.57</v>
      </c>
      <c r="J7" s="40">
        <f>+'New Year-Full Year'!N7</f>
        <v>457780.77</v>
      </c>
      <c r="K7" s="6">
        <f t="shared" ref="K7:K12" si="1">IF(J7=0,"NA",(+I7-J7)/J7)</f>
        <v>4.7277652139035869E-2</v>
      </c>
    </row>
    <row r="8" spans="1:11" x14ac:dyDescent="0.3">
      <c r="A8" s="48">
        <v>4</v>
      </c>
      <c r="C8" s="1" t="s">
        <v>2</v>
      </c>
      <c r="E8" s="40">
        <f>+'New Year-Full Year'!H8</f>
        <v>4000</v>
      </c>
      <c r="F8" s="40">
        <f>+'New Year-Full Year'!I8</f>
        <v>4000</v>
      </c>
      <c r="G8" s="6">
        <f t="shared" si="0"/>
        <v>0</v>
      </c>
      <c r="I8" s="40">
        <f>+'New Year-Full Year'!M8</f>
        <v>3535</v>
      </c>
      <c r="J8" s="40">
        <f>+'New Year-Full Year'!N8</f>
        <v>4000</v>
      </c>
      <c r="K8" s="6">
        <f t="shared" si="1"/>
        <v>-0.11625000000000001</v>
      </c>
    </row>
    <row r="9" spans="1:11" x14ac:dyDescent="0.3">
      <c r="A9" s="48">
        <v>5</v>
      </c>
      <c r="C9" s="1" t="s">
        <v>3</v>
      </c>
      <c r="E9" s="40">
        <f>+'New Year-Full Year'!H9</f>
        <v>1000</v>
      </c>
      <c r="F9" s="40">
        <f>+'New Year-Full Year'!I9</f>
        <v>1000</v>
      </c>
      <c r="G9" s="6">
        <f t="shared" si="0"/>
        <v>0</v>
      </c>
      <c r="I9" s="40">
        <f>+'New Year-Full Year'!M9</f>
        <v>0</v>
      </c>
      <c r="J9" s="40">
        <f>+'New Year-Full Year'!N9</f>
        <v>0</v>
      </c>
      <c r="K9" s="6" t="str">
        <f t="shared" si="1"/>
        <v>NA</v>
      </c>
    </row>
    <row r="10" spans="1:11" x14ac:dyDescent="0.3">
      <c r="A10" s="48">
        <v>6</v>
      </c>
      <c r="C10" s="1" t="s">
        <v>4</v>
      </c>
      <c r="E10" s="40">
        <f>+'New Year-Full Year'!H10</f>
        <v>5000</v>
      </c>
      <c r="F10" s="40">
        <f>+'New Year-Full Year'!I10</f>
        <v>5000</v>
      </c>
      <c r="G10" s="6">
        <f t="shared" si="0"/>
        <v>0</v>
      </c>
      <c r="I10" s="40">
        <f>+'New Year-Full Year'!M10</f>
        <v>425</v>
      </c>
      <c r="J10" s="40">
        <f>+'New Year-Full Year'!N10</f>
        <v>0</v>
      </c>
      <c r="K10" s="6" t="str">
        <f t="shared" si="1"/>
        <v>NA</v>
      </c>
    </row>
    <row r="11" spans="1:11" x14ac:dyDescent="0.3">
      <c r="A11" s="48">
        <v>7</v>
      </c>
      <c r="C11" s="1" t="s">
        <v>5</v>
      </c>
      <c r="E11" s="40">
        <f>+'New Year-Full Year'!H11</f>
        <v>2000</v>
      </c>
      <c r="F11" s="40">
        <f>+'New Year-Full Year'!I11</f>
        <v>2000</v>
      </c>
      <c r="G11" s="6">
        <f t="shared" si="0"/>
        <v>0</v>
      </c>
      <c r="I11" s="40">
        <f>+'New Year-Full Year'!M11</f>
        <v>5142</v>
      </c>
      <c r="J11" s="40">
        <f>+'New Year-Full Year'!N11</f>
        <v>2000</v>
      </c>
      <c r="K11" s="6">
        <f t="shared" si="1"/>
        <v>1.571</v>
      </c>
    </row>
    <row r="12" spans="1:11" x14ac:dyDescent="0.3">
      <c r="A12" s="48">
        <v>8</v>
      </c>
      <c r="B12" s="12" t="s">
        <v>6</v>
      </c>
      <c r="C12" s="12"/>
      <c r="D12" s="12"/>
      <c r="E12" s="12">
        <f>SUM(E7:E11)</f>
        <v>532000</v>
      </c>
      <c r="F12" s="12">
        <f>SUM(F7:F11)</f>
        <v>548137</v>
      </c>
      <c r="G12" s="13">
        <f t="shared" si="0"/>
        <v>-2.9439720361880334E-2</v>
      </c>
      <c r="I12" s="12">
        <f>SUM(I7:I11)</f>
        <v>488525.57</v>
      </c>
      <c r="J12" s="12">
        <f>SUM(J7:J11)</f>
        <v>463780.77</v>
      </c>
      <c r="K12" s="13">
        <f t="shared" si="1"/>
        <v>5.3354519205270172E-2</v>
      </c>
    </row>
    <row r="13" spans="1:11" ht="5.25" customHeight="1" x14ac:dyDescent="0.3">
      <c r="A13" s="48">
        <v>9</v>
      </c>
      <c r="G13" s="42"/>
    </row>
    <row r="14" spans="1:11" x14ac:dyDescent="0.3">
      <c r="A14" s="48">
        <v>10</v>
      </c>
      <c r="B14" s="4" t="s">
        <v>7</v>
      </c>
      <c r="G14" s="42"/>
    </row>
    <row r="15" spans="1:11" x14ac:dyDescent="0.3">
      <c r="A15" s="48">
        <v>11</v>
      </c>
      <c r="C15" s="1" t="s">
        <v>8</v>
      </c>
      <c r="E15" s="40">
        <f>+'New Year-Full Year'!H15</f>
        <v>7500</v>
      </c>
      <c r="F15" s="40">
        <f>+'New Year-Full Year'!I15</f>
        <v>7500</v>
      </c>
      <c r="G15" s="6">
        <f t="shared" ref="G15:G21" si="2">IF(F15=0,"NA",(+E15-F15)/F15)</f>
        <v>0</v>
      </c>
      <c r="I15" s="40">
        <f>+'New Year-Full Year'!M15</f>
        <v>6875.25</v>
      </c>
      <c r="J15" s="40">
        <f>+'New Year-Full Year'!N15</f>
        <v>6250</v>
      </c>
      <c r="K15" s="6">
        <f t="shared" ref="K15:K21" si="3">IF(J15=0,"NA",(+I15-J15)/J15)</f>
        <v>0.10004</v>
      </c>
    </row>
    <row r="16" spans="1:11" x14ac:dyDescent="0.3">
      <c r="A16" s="48">
        <v>12</v>
      </c>
      <c r="C16" s="1" t="s">
        <v>7</v>
      </c>
      <c r="E16" s="40">
        <f>+'New Year-Full Year'!H16</f>
        <v>0</v>
      </c>
      <c r="F16" s="40">
        <f>+'New Year-Full Year'!I16</f>
        <v>0</v>
      </c>
      <c r="G16" s="6" t="str">
        <f t="shared" si="2"/>
        <v>NA</v>
      </c>
      <c r="I16" s="40">
        <f>+'New Year-Full Year'!M16</f>
        <v>3506</v>
      </c>
      <c r="J16" s="40">
        <f>+'New Year-Full Year'!N16</f>
        <v>0</v>
      </c>
      <c r="K16" s="6" t="str">
        <f t="shared" si="3"/>
        <v>NA</v>
      </c>
    </row>
    <row r="17" spans="1:11" hidden="1" x14ac:dyDescent="0.3">
      <c r="A17" s="48">
        <v>13</v>
      </c>
      <c r="C17" s="1" t="s">
        <v>9</v>
      </c>
      <c r="E17" s="40">
        <f>+'New Year-Full Year'!H17</f>
        <v>0</v>
      </c>
      <c r="F17" s="40">
        <f>+'New Year-Full Year'!I17</f>
        <v>0</v>
      </c>
      <c r="G17" s="6" t="str">
        <f t="shared" si="2"/>
        <v>NA</v>
      </c>
      <c r="I17" s="40">
        <f>+'New Year-Full Year'!M17</f>
        <v>0</v>
      </c>
      <c r="J17" s="40">
        <f>+'New Year-Full Year'!N17</f>
        <v>0</v>
      </c>
      <c r="K17" s="6" t="str">
        <f t="shared" si="3"/>
        <v>NA</v>
      </c>
    </row>
    <row r="18" spans="1:11" x14ac:dyDescent="0.3">
      <c r="A18" s="48">
        <v>14</v>
      </c>
      <c r="C18" s="1" t="s">
        <v>11</v>
      </c>
      <c r="E18" s="40">
        <f>+'New Year-Full Year'!H18</f>
        <v>0</v>
      </c>
      <c r="F18" s="40">
        <f>+'New Year-Full Year'!I18</f>
        <v>0</v>
      </c>
      <c r="G18" s="6" t="str">
        <f t="shared" si="2"/>
        <v>NA</v>
      </c>
      <c r="I18" s="40">
        <f>+'New Year-Full Year'!M18</f>
        <v>1.42</v>
      </c>
      <c r="J18" s="40">
        <f>+'New Year-Full Year'!N18</f>
        <v>0</v>
      </c>
      <c r="K18" s="6" t="str">
        <f t="shared" si="3"/>
        <v>NA</v>
      </c>
    </row>
    <row r="19" spans="1:11" x14ac:dyDescent="0.3">
      <c r="A19" s="48">
        <v>15</v>
      </c>
      <c r="C19" s="1" t="s">
        <v>107</v>
      </c>
      <c r="E19" s="40">
        <f>+'New Year-Full Year'!H19</f>
        <v>0</v>
      </c>
      <c r="F19" s="40">
        <f>+'New Year-Full Year'!I19</f>
        <v>0</v>
      </c>
      <c r="G19" s="6" t="str">
        <f t="shared" si="2"/>
        <v>NA</v>
      </c>
      <c r="I19" s="40">
        <f>+'New Year-Full Year'!M19</f>
        <v>302.10000000000002</v>
      </c>
      <c r="J19" s="40">
        <f>+'New Year-Full Year'!N19</f>
        <v>0</v>
      </c>
      <c r="K19" s="6" t="str">
        <f t="shared" si="3"/>
        <v>NA</v>
      </c>
    </row>
    <row r="20" spans="1:11" x14ac:dyDescent="0.3">
      <c r="A20" s="48">
        <v>16</v>
      </c>
      <c r="B20" s="12" t="s">
        <v>10</v>
      </c>
      <c r="C20" s="12"/>
      <c r="D20" s="12"/>
      <c r="E20" s="12">
        <f>SUM(E15:E19)</f>
        <v>7500</v>
      </c>
      <c r="F20" s="12">
        <f>SUM(F15:F19)</f>
        <v>7500</v>
      </c>
      <c r="G20" s="13">
        <f t="shared" si="2"/>
        <v>0</v>
      </c>
      <c r="I20" s="12">
        <f>SUM(I15:I19)</f>
        <v>10684.77</v>
      </c>
      <c r="J20" s="12">
        <f>SUM(J15:J19)</f>
        <v>6250</v>
      </c>
      <c r="K20" s="13">
        <f t="shared" si="3"/>
        <v>0.70956320000000006</v>
      </c>
    </row>
    <row r="21" spans="1:11" x14ac:dyDescent="0.3">
      <c r="A21" s="48">
        <v>17</v>
      </c>
      <c r="B21" s="12" t="s">
        <v>12</v>
      </c>
      <c r="C21" s="12"/>
      <c r="D21" s="12"/>
      <c r="E21" s="12">
        <f>+E12+E20</f>
        <v>539500</v>
      </c>
      <c r="F21" s="12">
        <f>+F12+F20</f>
        <v>555637</v>
      </c>
      <c r="G21" s="13">
        <f t="shared" si="2"/>
        <v>-2.9042342392605246E-2</v>
      </c>
      <c r="I21" s="12">
        <f>+I12+I20</f>
        <v>499210.34</v>
      </c>
      <c r="J21" s="12">
        <f>+J12+J20</f>
        <v>470030.77</v>
      </c>
      <c r="K21" s="13">
        <f t="shared" si="3"/>
        <v>6.2080127222309309E-2</v>
      </c>
    </row>
    <row r="22" spans="1:11" ht="6" customHeight="1" x14ac:dyDescent="0.3">
      <c r="A22" s="48">
        <v>18</v>
      </c>
      <c r="G22" s="42"/>
    </row>
    <row r="23" spans="1:11" ht="18" x14ac:dyDescent="0.3">
      <c r="A23" s="48">
        <v>19</v>
      </c>
      <c r="B23" s="9" t="s">
        <v>13</v>
      </c>
      <c r="G23" s="42"/>
    </row>
    <row r="24" spans="1:11" s="4" customFormat="1" x14ac:dyDescent="0.3">
      <c r="A24" s="48">
        <v>26</v>
      </c>
      <c r="B24" s="14"/>
      <c r="C24" s="15" t="s">
        <v>105</v>
      </c>
      <c r="D24" s="14"/>
      <c r="E24" s="14">
        <f>+'New Year-Full Year'!H29</f>
        <v>53950</v>
      </c>
      <c r="F24" s="14">
        <f>+'New Year-Full Year'!I29</f>
        <v>53701</v>
      </c>
      <c r="G24" s="16">
        <f>IF(F24=0,"NA",(+E24-F24)/F24)</f>
        <v>4.6367851622874804E-3</v>
      </c>
      <c r="H24" s="1"/>
      <c r="I24" s="14">
        <f>+'New Year-Full Year'!M29</f>
        <v>42933.3</v>
      </c>
      <c r="J24" s="14">
        <f>+'New Year-Full Year'!N29</f>
        <v>42933.3</v>
      </c>
      <c r="K24" s="16">
        <f>IF(J24=0,"NA",(+I24-J24)/J24)</f>
        <v>0</v>
      </c>
    </row>
    <row r="25" spans="1:11" s="4" customFormat="1" ht="6.75" customHeight="1" x14ac:dyDescent="0.3">
      <c r="A25" s="48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" x14ac:dyDescent="0.3">
      <c r="A26" s="48">
        <v>28</v>
      </c>
      <c r="B26" s="21" t="s">
        <v>71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 x14ac:dyDescent="0.3">
      <c r="A27" s="48">
        <v>29</v>
      </c>
      <c r="B27" s="4" t="s">
        <v>17</v>
      </c>
      <c r="G27" s="42"/>
    </row>
    <row r="28" spans="1:11" x14ac:dyDescent="0.3">
      <c r="A28" s="48">
        <v>30</v>
      </c>
      <c r="C28" s="1" t="s">
        <v>94</v>
      </c>
      <c r="E28" s="40">
        <f>+'New Year-Full Year'!H33</f>
        <v>3000</v>
      </c>
      <c r="F28" s="40">
        <f>+'New Year-Full Year'!I33</f>
        <v>3000</v>
      </c>
      <c r="G28" s="6">
        <f t="shared" ref="G28:G35" si="4">IF(F28=0,"NA",(+E28-F28)/F28)</f>
        <v>0</v>
      </c>
      <c r="I28" s="40">
        <f>+'New Year-Full Year'!M33</f>
        <v>620.04</v>
      </c>
      <c r="J28" s="40">
        <f>+'New Year-Full Year'!N33</f>
        <v>2500</v>
      </c>
      <c r="K28" s="6">
        <f t="shared" ref="K28:K35" si="5">IF(J28=0,"NA",(+I28-J28)/J28)</f>
        <v>-0.75198399999999999</v>
      </c>
    </row>
    <row r="29" spans="1:11" x14ac:dyDescent="0.3">
      <c r="A29" s="48">
        <v>31</v>
      </c>
      <c r="C29" s="1" t="s">
        <v>18</v>
      </c>
      <c r="E29" s="40">
        <f>+'New Year-Full Year'!H34</f>
        <v>1400</v>
      </c>
      <c r="F29" s="40">
        <f>+'New Year-Full Year'!I34</f>
        <v>1281</v>
      </c>
      <c r="G29" s="6">
        <f t="shared" si="4"/>
        <v>9.2896174863387984E-2</v>
      </c>
      <c r="I29" s="40">
        <f>+'New Year-Full Year'!M34</f>
        <v>367.13</v>
      </c>
      <c r="J29" s="40">
        <f>+'New Year-Full Year'!N34</f>
        <v>1067.5</v>
      </c>
      <c r="K29" s="6">
        <f t="shared" si="5"/>
        <v>-0.65608430913348947</v>
      </c>
    </row>
    <row r="30" spans="1:11" x14ac:dyDescent="0.3">
      <c r="A30" s="48">
        <v>32</v>
      </c>
      <c r="C30" s="1" t="s">
        <v>19</v>
      </c>
      <c r="E30" s="40">
        <f>+'New Year-Full Year'!H35</f>
        <v>600</v>
      </c>
      <c r="F30" s="40">
        <f>+'New Year-Full Year'!I35</f>
        <v>1000</v>
      </c>
      <c r="G30" s="6">
        <f t="shared" si="4"/>
        <v>-0.4</v>
      </c>
      <c r="I30" s="40">
        <f>+'New Year-Full Year'!M35</f>
        <v>1274.73</v>
      </c>
      <c r="J30" s="40">
        <f>+'New Year-Full Year'!N35</f>
        <v>1000</v>
      </c>
      <c r="K30" s="6">
        <f t="shared" si="5"/>
        <v>0.27473000000000003</v>
      </c>
    </row>
    <row r="31" spans="1:11" x14ac:dyDescent="0.3">
      <c r="A31" s="48">
        <v>33</v>
      </c>
      <c r="C31" s="1" t="s">
        <v>20</v>
      </c>
      <c r="E31" s="40">
        <f>+'New Year-Full Year'!H36</f>
        <v>500</v>
      </c>
      <c r="F31" s="40">
        <f>+'New Year-Full Year'!I36</f>
        <v>500</v>
      </c>
      <c r="G31" s="6">
        <f t="shared" si="4"/>
        <v>0</v>
      </c>
      <c r="I31" s="40">
        <f>+'New Year-Full Year'!M36</f>
        <v>538.5</v>
      </c>
      <c r="J31" s="40">
        <f>+'New Year-Full Year'!N36</f>
        <v>416.7</v>
      </c>
      <c r="K31" s="6">
        <f t="shared" si="5"/>
        <v>0.29229661627069836</v>
      </c>
    </row>
    <row r="32" spans="1:11" x14ac:dyDescent="0.3">
      <c r="A32" s="48">
        <v>34</v>
      </c>
      <c r="C32" s="1" t="s">
        <v>21</v>
      </c>
      <c r="E32" s="40">
        <f>+'New Year-Full Year'!H37</f>
        <v>400</v>
      </c>
      <c r="F32" s="40">
        <f>+'New Year-Full Year'!I37</f>
        <v>400</v>
      </c>
      <c r="G32" s="6">
        <f t="shared" si="4"/>
        <v>0</v>
      </c>
      <c r="I32" s="40">
        <f>+'New Year-Full Year'!M37</f>
        <v>0</v>
      </c>
      <c r="J32" s="40">
        <f>+'New Year-Full Year'!N37</f>
        <v>400</v>
      </c>
      <c r="K32" s="6">
        <f t="shared" si="5"/>
        <v>-1</v>
      </c>
    </row>
    <row r="33" spans="1:11" x14ac:dyDescent="0.3">
      <c r="C33" s="1" t="s">
        <v>153</v>
      </c>
      <c r="E33" s="40">
        <f>+'New Year-Full Year'!H38</f>
        <v>750</v>
      </c>
      <c r="F33" s="40">
        <f>+'New Year-Full Year'!I38</f>
        <v>750</v>
      </c>
      <c r="G33" s="6">
        <f t="shared" si="4"/>
        <v>0</v>
      </c>
      <c r="I33" s="40">
        <f>+'New Year-Full Year'!M38</f>
        <v>127.32</v>
      </c>
      <c r="J33" s="40">
        <f>+'New Year-Full Year'!N38</f>
        <v>625</v>
      </c>
      <c r="K33" s="6">
        <f t="shared" ref="K33" si="6">IF(J33=0,"NA",(+I33-J33)/J33)</f>
        <v>-0.796288</v>
      </c>
    </row>
    <row r="34" spans="1:11" x14ac:dyDescent="0.3">
      <c r="A34" s="48">
        <v>35</v>
      </c>
      <c r="C34" s="1" t="s">
        <v>98</v>
      </c>
      <c r="E34" s="40">
        <f>+'New Year-Full Year'!H39</f>
        <v>400</v>
      </c>
      <c r="F34" s="40">
        <f>+'New Year-Full Year'!I39</f>
        <v>400</v>
      </c>
      <c r="G34" s="6">
        <f t="shared" si="4"/>
        <v>0</v>
      </c>
      <c r="I34" s="40">
        <f>+'New Year-Full Year'!M39</f>
        <v>0</v>
      </c>
      <c r="J34" s="40">
        <f>+'New Year-Full Year'!N39</f>
        <v>400</v>
      </c>
      <c r="K34" s="6">
        <f t="shared" si="5"/>
        <v>-1</v>
      </c>
    </row>
    <row r="35" spans="1:11" s="4" customFormat="1" x14ac:dyDescent="0.3">
      <c r="A35" s="48">
        <v>36</v>
      </c>
      <c r="B35" s="39" t="s">
        <v>22</v>
      </c>
      <c r="C35" s="39"/>
      <c r="D35" s="39"/>
      <c r="E35" s="39">
        <f>SUM(E28:E34)</f>
        <v>7050</v>
      </c>
      <c r="F35" s="39">
        <f>SUM(F28:F34)</f>
        <v>7331</v>
      </c>
      <c r="G35" s="23">
        <f t="shared" si="4"/>
        <v>-3.8330377847496933E-2</v>
      </c>
      <c r="I35" s="39">
        <f>SUM(I28:I34)</f>
        <v>2927.7200000000003</v>
      </c>
      <c r="J35" s="39">
        <f>SUM(J28:J34)</f>
        <v>6409.2</v>
      </c>
      <c r="K35" s="23">
        <f t="shared" si="5"/>
        <v>-0.54320039942582532</v>
      </c>
    </row>
    <row r="36" spans="1:11" ht="6" customHeight="1" x14ac:dyDescent="0.3">
      <c r="A36" s="48">
        <v>37</v>
      </c>
      <c r="G36" s="42"/>
    </row>
    <row r="37" spans="1:11" x14ac:dyDescent="0.3">
      <c r="A37" s="48">
        <v>40</v>
      </c>
      <c r="B37" s="4" t="s">
        <v>254</v>
      </c>
      <c r="G37" s="42"/>
    </row>
    <row r="38" spans="1:11" x14ac:dyDescent="0.3">
      <c r="A38" s="48">
        <v>41</v>
      </c>
      <c r="C38" s="1" t="s">
        <v>23</v>
      </c>
      <c r="E38" s="40">
        <f>+'New Year-Full Year'!H43</f>
        <v>6000</v>
      </c>
      <c r="F38" s="40">
        <f>+'New Year-Full Year'!I43</f>
        <v>5200</v>
      </c>
      <c r="G38" s="6">
        <f>IF(F38=0,"NA",(+E38-F38)/F38)</f>
        <v>0.15384615384615385</v>
      </c>
      <c r="I38" s="40">
        <f>+'New Year-Full Year'!M43</f>
        <v>4540.32</v>
      </c>
      <c r="J38" s="40">
        <f>+'New Year-Full Year'!N43</f>
        <v>4333.3</v>
      </c>
      <c r="K38" s="6">
        <f>IF(J38=0,"NA",(+I38-J38)/J38)</f>
        <v>4.777421364779718E-2</v>
      </c>
    </row>
    <row r="39" spans="1:11" x14ac:dyDescent="0.3">
      <c r="A39" s="48">
        <v>42</v>
      </c>
      <c r="C39" s="1" t="s">
        <v>24</v>
      </c>
      <c r="E39" s="40">
        <f>+'New Year-Full Year'!H44</f>
        <v>0</v>
      </c>
      <c r="F39" s="40">
        <f>+'New Year-Full Year'!I44</f>
        <v>1300</v>
      </c>
      <c r="G39" s="6">
        <f>IF(F39=0,"NA",(+E39-F39)/F39)</f>
        <v>-1</v>
      </c>
      <c r="I39" s="40">
        <f>+'New Year-Full Year'!M44</f>
        <v>1650</v>
      </c>
      <c r="J39" s="40">
        <f>+'New Year-Full Year'!N44</f>
        <v>1083.3</v>
      </c>
      <c r="K39" s="6">
        <f>IF(J39=0,"NA",(+I39-J39)/J39)</f>
        <v>0.52312378842425922</v>
      </c>
    </row>
    <row r="40" spans="1:11" x14ac:dyDescent="0.3">
      <c r="A40" s="48">
        <v>43</v>
      </c>
      <c r="C40" s="1" t="s">
        <v>25</v>
      </c>
      <c r="E40" s="40">
        <f>+'New Year-Full Year'!H45</f>
        <v>200</v>
      </c>
      <c r="F40" s="40">
        <f>+'New Year-Full Year'!I45</f>
        <v>200</v>
      </c>
      <c r="G40" s="6">
        <f>IF(F40=0,"NA",(+E40-F40)/F40)</f>
        <v>0</v>
      </c>
      <c r="I40" s="40">
        <f>+'New Year-Full Year'!M45</f>
        <v>0</v>
      </c>
      <c r="J40" s="40">
        <f>+'New Year-Full Year'!N45</f>
        <v>166.7</v>
      </c>
      <c r="K40" s="6">
        <f>IF(J40=0,"NA",(+I40-J40)/J40)</f>
        <v>-1</v>
      </c>
    </row>
    <row r="41" spans="1:11" x14ac:dyDescent="0.3">
      <c r="A41" s="48">
        <v>44</v>
      </c>
      <c r="C41" s="1" t="s">
        <v>26</v>
      </c>
      <c r="E41" s="40">
        <f>+'New Year-Full Year'!H46</f>
        <v>200</v>
      </c>
      <c r="F41" s="40">
        <f>+'New Year-Full Year'!I46</f>
        <v>200</v>
      </c>
      <c r="G41" s="6">
        <f>IF(F41=0,"NA",(+E41-F41)/F41)</f>
        <v>0</v>
      </c>
      <c r="I41" s="40">
        <f>+'New Year-Full Year'!M46</f>
        <v>-25.1</v>
      </c>
      <c r="J41" s="40">
        <f>+'New Year-Full Year'!N46</f>
        <v>166.7</v>
      </c>
      <c r="K41" s="6">
        <f>IF(J41=0,"NA",(+I41-J41)/J41)</f>
        <v>-1.1505698860227953</v>
      </c>
    </row>
    <row r="42" spans="1:11" s="4" customFormat="1" x14ac:dyDescent="0.3">
      <c r="A42" s="48">
        <v>45</v>
      </c>
      <c r="B42" s="39" t="s">
        <v>255</v>
      </c>
      <c r="C42" s="39"/>
      <c r="D42" s="39"/>
      <c r="E42" s="39">
        <f>SUM(E38:E41)</f>
        <v>6400</v>
      </c>
      <c r="F42" s="39">
        <f>SUM(F38:F41)</f>
        <v>6900</v>
      </c>
      <c r="G42" s="23">
        <f>IF(F42=0,"NA",(+E42-F42)/F42)</f>
        <v>-7.2463768115942032E-2</v>
      </c>
      <c r="I42" s="39">
        <f>SUM(I38:I41)</f>
        <v>6165.2199999999993</v>
      </c>
      <c r="J42" s="39">
        <f>SUM(J38:J41)</f>
        <v>5750</v>
      </c>
      <c r="K42" s="23">
        <f>IF(J42=0,"NA",(+I42-J42)/J42)</f>
        <v>7.2212173913043368E-2</v>
      </c>
    </row>
    <row r="43" spans="1:11" ht="6.75" customHeight="1" x14ac:dyDescent="0.3">
      <c r="A43" s="48">
        <v>46</v>
      </c>
      <c r="G43" s="42"/>
    </row>
    <row r="44" spans="1:11" s="4" customFormat="1" x14ac:dyDescent="0.3">
      <c r="A44" s="48">
        <v>51</v>
      </c>
      <c r="B44" s="39" t="s">
        <v>27</v>
      </c>
      <c r="C44" s="39"/>
      <c r="D44" s="39"/>
      <c r="E44" s="39">
        <f>+'New Year-Full Year'!H49</f>
        <v>11000</v>
      </c>
      <c r="F44" s="39">
        <f>+'New Year-Full Year'!I49</f>
        <v>11000</v>
      </c>
      <c r="G44" s="23">
        <f>IF(F44=0,"NA",(+E44-F44)/F44)</f>
        <v>0</v>
      </c>
      <c r="I44" s="39">
        <f>+'New Year-Full Year'!M49</f>
        <v>6673.79</v>
      </c>
      <c r="J44" s="39">
        <f>+'New Year-Full Year'!N49</f>
        <v>9166.7000000000007</v>
      </c>
      <c r="K44" s="23">
        <f>IF(J44=0,"NA",(+I44-J44)/J44)</f>
        <v>-0.27195282926243913</v>
      </c>
    </row>
    <row r="45" spans="1:11" ht="6.75" customHeight="1" x14ac:dyDescent="0.3">
      <c r="A45" s="48">
        <v>52</v>
      </c>
      <c r="G45" s="42"/>
    </row>
    <row r="46" spans="1:11" x14ac:dyDescent="0.3">
      <c r="A46" s="48">
        <v>53</v>
      </c>
      <c r="B46" s="4" t="s">
        <v>106</v>
      </c>
      <c r="G46" s="42"/>
    </row>
    <row r="47" spans="1:11" x14ac:dyDescent="0.3">
      <c r="A47" s="48">
        <v>54</v>
      </c>
      <c r="C47" s="1" t="s">
        <v>108</v>
      </c>
      <c r="E47" s="40">
        <f>+'New Year-Full Year'!H52</f>
        <v>400</v>
      </c>
      <c r="F47" s="40">
        <f>+'New Year-Full Year'!I52</f>
        <v>400</v>
      </c>
      <c r="G47" s="6">
        <f>IF(F47=0,"NA",(+E47-F47)/F47)</f>
        <v>0</v>
      </c>
      <c r="I47" s="40">
        <f>+'New Year-Full Year'!M52</f>
        <v>-115.52</v>
      </c>
      <c r="J47" s="40">
        <f>+'New Year-Full Year'!N52</f>
        <v>400</v>
      </c>
      <c r="K47" s="6">
        <f>IF(J47=0,"NA",(+I47-J47)/J47)</f>
        <v>-1.2887999999999999</v>
      </c>
    </row>
    <row r="48" spans="1:11" x14ac:dyDescent="0.3">
      <c r="A48" s="48">
        <v>55</v>
      </c>
      <c r="C48" s="1" t="s">
        <v>102</v>
      </c>
      <c r="E48" s="40">
        <f>+'New Year-Full Year'!H53</f>
        <v>500</v>
      </c>
      <c r="F48" s="40">
        <f>+'New Year-Full Year'!I53</f>
        <v>500</v>
      </c>
      <c r="G48" s="6">
        <f>IF(F48=0,"NA",(+E48-F48)/F48)</f>
        <v>0</v>
      </c>
      <c r="I48" s="40">
        <f>+'New Year-Full Year'!M53</f>
        <v>0</v>
      </c>
      <c r="J48" s="40">
        <f>+'New Year-Full Year'!N53</f>
        <v>416.7</v>
      </c>
      <c r="K48" s="6">
        <f>IF(J48=0,"NA",(+I48-J48)/J48)</f>
        <v>-1</v>
      </c>
    </row>
    <row r="49" spans="1:11" s="4" customFormat="1" x14ac:dyDescent="0.3">
      <c r="A49" s="48">
        <v>56</v>
      </c>
      <c r="B49" s="39" t="s">
        <v>101</v>
      </c>
      <c r="C49" s="39"/>
      <c r="D49" s="39"/>
      <c r="E49" s="39">
        <f>SUM(E47:E48)</f>
        <v>900</v>
      </c>
      <c r="F49" s="39">
        <f>SUM(F47:F48)</f>
        <v>900</v>
      </c>
      <c r="G49" s="23">
        <f>IF(F49=0,"NA",(+E49-F49)/F49)</f>
        <v>0</v>
      </c>
      <c r="I49" s="39">
        <f>SUM(I47:I48)</f>
        <v>-115.52</v>
      </c>
      <c r="J49" s="39">
        <f>SUM(J47:J48)</f>
        <v>816.7</v>
      </c>
      <c r="K49" s="23">
        <f>IF(J49=0,"NA",(+I49-J49)/J49)</f>
        <v>-1.1414472878658013</v>
      </c>
    </row>
    <row r="50" spans="1:11" ht="5.25" customHeight="1" x14ac:dyDescent="0.3">
      <c r="A50" s="48">
        <v>57</v>
      </c>
      <c r="G50" s="42"/>
    </row>
    <row r="51" spans="1:11" x14ac:dyDescent="0.3">
      <c r="A51" s="48">
        <v>58</v>
      </c>
      <c r="B51" s="39" t="s">
        <v>28</v>
      </c>
      <c r="C51" s="24"/>
      <c r="D51" s="24"/>
      <c r="E51" s="50">
        <f>+'New Year-Full Year'!H56</f>
        <v>250</v>
      </c>
      <c r="F51" s="50">
        <f>+'New Year-Full Year'!I56</f>
        <v>200</v>
      </c>
      <c r="G51" s="23">
        <f>IF(F51=0,"NA",(+E51-F51)/F51)</f>
        <v>0.25</v>
      </c>
      <c r="I51" s="50">
        <f>+'New Year-Full Year'!M56</f>
        <v>200</v>
      </c>
      <c r="J51" s="50">
        <f>+'New Year-Full Year'!N56</f>
        <v>200</v>
      </c>
      <c r="K51" s="23">
        <f>IF(J51=0,"NA",(+I51-J51)/J51)</f>
        <v>0</v>
      </c>
    </row>
    <row r="52" spans="1:11" ht="6" customHeight="1" x14ac:dyDescent="0.3">
      <c r="A52" s="48">
        <v>59</v>
      </c>
      <c r="G52" s="42"/>
    </row>
    <row r="53" spans="1:11" x14ac:dyDescent="0.3">
      <c r="A53" s="48">
        <v>60</v>
      </c>
      <c r="B53" s="4" t="s">
        <v>29</v>
      </c>
      <c r="G53" s="42"/>
    </row>
    <row r="54" spans="1:11" x14ac:dyDescent="0.3">
      <c r="A54" s="48">
        <v>61</v>
      </c>
      <c r="C54" s="1" t="s">
        <v>30</v>
      </c>
      <c r="E54" s="40">
        <f>+'New Year-Full Year'!H59</f>
        <v>200</v>
      </c>
      <c r="F54" s="40">
        <f>+'New Year-Full Year'!I59</f>
        <v>200</v>
      </c>
      <c r="G54" s="6">
        <f t="shared" ref="G54:G60" si="7">IF(F54=0,"NA",(+E54-F54)/F54)</f>
        <v>0</v>
      </c>
      <c r="I54" s="40">
        <f>+'New Year-Full Year'!M59</f>
        <v>0</v>
      </c>
      <c r="J54" s="40">
        <f>+'New Year-Full Year'!N59</f>
        <v>0</v>
      </c>
      <c r="K54" s="6" t="str">
        <f t="shared" ref="K54:K60" si="8">IF(J54=0,"NA",(+I54-J54)/J54)</f>
        <v>NA</v>
      </c>
    </row>
    <row r="55" spans="1:11" x14ac:dyDescent="0.3">
      <c r="A55" s="48">
        <v>62</v>
      </c>
      <c r="C55" s="1" t="s">
        <v>31</v>
      </c>
      <c r="E55" s="40">
        <f>+'New Year-Full Year'!H60</f>
        <v>800</v>
      </c>
      <c r="F55" s="40">
        <f>+'New Year-Full Year'!I60</f>
        <v>800</v>
      </c>
      <c r="G55" s="6">
        <f t="shared" si="7"/>
        <v>0</v>
      </c>
      <c r="I55" s="40">
        <f>+'New Year-Full Year'!M60</f>
        <v>71.7</v>
      </c>
      <c r="J55" s="40">
        <f>+'New Year-Full Year'!N60</f>
        <v>800</v>
      </c>
      <c r="K55" s="6">
        <f t="shared" si="8"/>
        <v>-0.91037499999999993</v>
      </c>
    </row>
    <row r="56" spans="1:11" x14ac:dyDescent="0.3">
      <c r="A56" s="48">
        <v>63</v>
      </c>
      <c r="C56" s="1" t="s">
        <v>32</v>
      </c>
      <c r="E56" s="40">
        <f>+'New Year-Full Year'!H61</f>
        <v>2700</v>
      </c>
      <c r="F56" s="40">
        <f>+'New Year-Full Year'!I61</f>
        <v>1200</v>
      </c>
      <c r="G56" s="6">
        <f t="shared" si="7"/>
        <v>1.25</v>
      </c>
      <c r="I56" s="40">
        <f>+'New Year-Full Year'!M61</f>
        <v>1025</v>
      </c>
      <c r="J56" s="40">
        <f>+'New Year-Full Year'!N61</f>
        <v>1200</v>
      </c>
      <c r="K56" s="6">
        <f t="shared" si="8"/>
        <v>-0.14583333333333334</v>
      </c>
    </row>
    <row r="57" spans="1:11" x14ac:dyDescent="0.3">
      <c r="A57" s="48">
        <v>64</v>
      </c>
      <c r="C57" s="1" t="s">
        <v>33</v>
      </c>
      <c r="E57" s="40">
        <f>+'New Year-Full Year'!H62</f>
        <v>10000</v>
      </c>
      <c r="F57" s="40">
        <f>+'New Year-Full Year'!I62</f>
        <v>6000</v>
      </c>
      <c r="G57" s="6">
        <f t="shared" si="7"/>
        <v>0.66666666666666663</v>
      </c>
      <c r="I57" s="40">
        <f>+'New Year-Full Year'!M62</f>
        <v>8229.1299999999992</v>
      </c>
      <c r="J57" s="40">
        <f>+'New Year-Full Year'!N62</f>
        <v>5000</v>
      </c>
      <c r="K57" s="6">
        <f t="shared" si="8"/>
        <v>0.64582599999999979</v>
      </c>
    </row>
    <row r="58" spans="1:11" x14ac:dyDescent="0.3">
      <c r="C58" s="1" t="s">
        <v>29</v>
      </c>
      <c r="E58" s="40">
        <f>+'New Year-Full Year'!H63</f>
        <v>300</v>
      </c>
      <c r="F58" s="40">
        <f>+'New Year-Full Year'!I63</f>
        <v>300</v>
      </c>
      <c r="G58" s="6">
        <f t="shared" ref="G58" si="9">IF(F58=0,"NA",(+E58-F58)/F58)</f>
        <v>0</v>
      </c>
      <c r="I58" s="40">
        <f>+'New Year-Full Year'!M63</f>
        <v>0</v>
      </c>
      <c r="J58" s="40">
        <f>+'New Year-Full Year'!N63</f>
        <v>250</v>
      </c>
      <c r="K58" s="6">
        <f t="shared" ref="K58" si="10">IF(J58=0,"NA",(+I58-J58)/J58)</f>
        <v>-1</v>
      </c>
    </row>
    <row r="59" spans="1:11" x14ac:dyDescent="0.3">
      <c r="A59" s="48">
        <v>65</v>
      </c>
      <c r="C59" s="1" t="s">
        <v>34</v>
      </c>
      <c r="E59" s="40">
        <f>+'New Year-Full Year'!H64</f>
        <v>800</v>
      </c>
      <c r="F59" s="40">
        <f>+'New Year-Full Year'!I64</f>
        <v>800</v>
      </c>
      <c r="G59" s="6">
        <f t="shared" si="7"/>
        <v>0</v>
      </c>
      <c r="I59" s="40">
        <f>+'New Year-Full Year'!M64</f>
        <v>325.92</v>
      </c>
      <c r="J59" s="40">
        <f>+'New Year-Full Year'!N64</f>
        <v>400</v>
      </c>
      <c r="K59" s="6">
        <f t="shared" si="8"/>
        <v>-0.18519999999999995</v>
      </c>
    </row>
    <row r="60" spans="1:11" s="4" customFormat="1" x14ac:dyDescent="0.3">
      <c r="A60" s="48">
        <v>66</v>
      </c>
      <c r="B60" s="39" t="s">
        <v>35</v>
      </c>
      <c r="C60" s="39"/>
      <c r="D60" s="39"/>
      <c r="E60" s="39">
        <f>SUM(E54:E59)</f>
        <v>14800</v>
      </c>
      <c r="F60" s="39">
        <f>SUM(F54:F59)</f>
        <v>9300</v>
      </c>
      <c r="G60" s="23">
        <f t="shared" si="7"/>
        <v>0.59139784946236562</v>
      </c>
      <c r="I60" s="39">
        <f>SUM(I54:I59)</f>
        <v>9651.75</v>
      </c>
      <c r="J60" s="39">
        <f>SUM(J54:J59)</f>
        <v>7650</v>
      </c>
      <c r="K60" s="23">
        <f t="shared" si="8"/>
        <v>0.26166666666666666</v>
      </c>
    </row>
    <row r="61" spans="1:11" ht="6" customHeight="1" x14ac:dyDescent="0.3">
      <c r="A61" s="48">
        <v>67</v>
      </c>
      <c r="G61" s="42"/>
    </row>
    <row r="62" spans="1:11" x14ac:dyDescent="0.3">
      <c r="A62" s="48">
        <v>68</v>
      </c>
      <c r="B62" s="4" t="s">
        <v>36</v>
      </c>
      <c r="G62" s="42"/>
    </row>
    <row r="63" spans="1:11" x14ac:dyDescent="0.3">
      <c r="A63" s="48">
        <v>69</v>
      </c>
      <c r="C63" s="1" t="s">
        <v>37</v>
      </c>
      <c r="E63" s="40">
        <f>+'New Year-Full Year'!H68</f>
        <v>4700</v>
      </c>
      <c r="F63" s="40">
        <f>+'New Year-Full Year'!I68</f>
        <v>5000</v>
      </c>
      <c r="G63" s="6">
        <f t="shared" ref="G63:G69" si="11">IF(F63=0,"NA",(+E63-F63)/F63)</f>
        <v>-0.06</v>
      </c>
      <c r="I63" s="40">
        <f>+'New Year-Full Year'!M68</f>
        <v>3446.62</v>
      </c>
      <c r="J63" s="40">
        <f>+'New Year-Full Year'!N68</f>
        <v>4166.7</v>
      </c>
      <c r="K63" s="6">
        <f t="shared" ref="K63:K69" si="12">IF(J63=0,"NA",(+I63-J63)/J63)</f>
        <v>-0.17281781745746033</v>
      </c>
    </row>
    <row r="64" spans="1:11" x14ac:dyDescent="0.3">
      <c r="A64" s="48">
        <v>70</v>
      </c>
      <c r="C64" s="1" t="s">
        <v>38</v>
      </c>
      <c r="E64" s="40">
        <f>+'New Year-Full Year'!H69</f>
        <v>4000</v>
      </c>
      <c r="F64" s="40">
        <f>+'New Year-Full Year'!I69</f>
        <v>4000</v>
      </c>
      <c r="G64" s="6">
        <f t="shared" si="11"/>
        <v>0</v>
      </c>
      <c r="I64" s="40">
        <f>+'New Year-Full Year'!M69</f>
        <v>3169.76</v>
      </c>
      <c r="J64" s="40">
        <f>+'New Year-Full Year'!N69</f>
        <v>3333.3</v>
      </c>
      <c r="K64" s="6">
        <f t="shared" si="12"/>
        <v>-4.9062490624906238E-2</v>
      </c>
    </row>
    <row r="65" spans="1:13" x14ac:dyDescent="0.3">
      <c r="A65" s="48">
        <v>73</v>
      </c>
      <c r="C65" s="1" t="s">
        <v>39</v>
      </c>
      <c r="E65" s="40">
        <f>+'New Year-Full Year'!H70</f>
        <v>16000</v>
      </c>
      <c r="F65" s="40">
        <f>+'New Year-Full Year'!I70</f>
        <v>22000</v>
      </c>
      <c r="G65" s="6">
        <f t="shared" si="11"/>
        <v>-0.27272727272727271</v>
      </c>
      <c r="I65" s="40">
        <f>+'New Year-Full Year'!M70</f>
        <v>11892.89</v>
      </c>
      <c r="J65" s="40">
        <f>+'New Year-Full Year'!N70</f>
        <v>18333.3</v>
      </c>
      <c r="K65" s="6">
        <f t="shared" si="12"/>
        <v>-0.35129572962859934</v>
      </c>
    </row>
    <row r="66" spans="1:13" x14ac:dyDescent="0.3">
      <c r="A66" s="48">
        <v>74</v>
      </c>
      <c r="C66" s="1" t="s">
        <v>40</v>
      </c>
      <c r="E66" s="40">
        <f>+'New Year-Full Year'!H71</f>
        <v>700</v>
      </c>
      <c r="F66" s="40">
        <f>+'New Year-Full Year'!I71</f>
        <v>700</v>
      </c>
      <c r="G66" s="6">
        <f t="shared" si="11"/>
        <v>0</v>
      </c>
      <c r="I66" s="40">
        <f>+'New Year-Full Year'!M71</f>
        <v>639.65</v>
      </c>
      <c r="J66" s="40">
        <f>+'New Year-Full Year'!N71</f>
        <v>583.29999999999995</v>
      </c>
      <c r="K66" s="6">
        <f t="shared" si="12"/>
        <v>9.6605520315446641E-2</v>
      </c>
    </row>
    <row r="67" spans="1:13" x14ac:dyDescent="0.3">
      <c r="A67" s="48">
        <v>75</v>
      </c>
      <c r="C67" s="1" t="s">
        <v>41</v>
      </c>
      <c r="E67" s="40">
        <f>+'New Year-Full Year'!H72</f>
        <v>1600</v>
      </c>
      <c r="F67" s="40">
        <f>+'New Year-Full Year'!I72</f>
        <v>1600</v>
      </c>
      <c r="G67" s="6">
        <f t="shared" si="11"/>
        <v>0</v>
      </c>
      <c r="I67" s="40">
        <f>+'New Year-Full Year'!M72</f>
        <v>1199.6500000000001</v>
      </c>
      <c r="J67" s="40">
        <f>+'New Year-Full Year'!N72</f>
        <v>1333.3</v>
      </c>
      <c r="K67" s="6">
        <f t="shared" si="12"/>
        <v>-0.1002400060001499</v>
      </c>
    </row>
    <row r="68" spans="1:13" s="4" customFormat="1" x14ac:dyDescent="0.3">
      <c r="A68" s="48">
        <v>76</v>
      </c>
      <c r="B68" s="39" t="s">
        <v>43</v>
      </c>
      <c r="C68" s="39"/>
      <c r="D68" s="39"/>
      <c r="E68" s="39">
        <f>SUM(E63:E67)</f>
        <v>27000</v>
      </c>
      <c r="F68" s="39">
        <f>SUM(F63:F67)</f>
        <v>33300</v>
      </c>
      <c r="G68" s="23">
        <f t="shared" si="11"/>
        <v>-0.1891891891891892</v>
      </c>
      <c r="I68" s="39">
        <f>SUM(I63:I67)</f>
        <v>20348.570000000003</v>
      </c>
      <c r="J68" s="39">
        <f>SUM(J63:J67)</f>
        <v>27749.899999999998</v>
      </c>
      <c r="K68" s="23">
        <f t="shared" si="12"/>
        <v>-0.26671555573173217</v>
      </c>
    </row>
    <row r="69" spans="1:13" x14ac:dyDescent="0.3">
      <c r="A69" s="48">
        <v>77</v>
      </c>
      <c r="B69" s="39" t="s">
        <v>100</v>
      </c>
      <c r="C69" s="25"/>
      <c r="D69" s="25"/>
      <c r="E69" s="39">
        <f>+E35+E42+E44+E51+E60+E68+E49</f>
        <v>67400</v>
      </c>
      <c r="F69" s="39">
        <f>+F35+F42+F44+F51+F60+F68+F49</f>
        <v>68931</v>
      </c>
      <c r="G69" s="23">
        <f t="shared" si="11"/>
        <v>-2.2210616413514964E-2</v>
      </c>
      <c r="I69" s="39">
        <f>+I35+I42+I44+I51+I60+I68+I49</f>
        <v>45851.530000000006</v>
      </c>
      <c r="J69" s="39">
        <f>+J35+J42+J44+J51+J60+J68+J49</f>
        <v>57742.5</v>
      </c>
      <c r="K69" s="23">
        <f t="shared" si="12"/>
        <v>-0.2059309867082304</v>
      </c>
    </row>
    <row r="70" spans="1:13" ht="8.25" customHeight="1" x14ac:dyDescent="0.3">
      <c r="A70" s="48">
        <v>78</v>
      </c>
      <c r="G70" s="42"/>
    </row>
    <row r="71" spans="1:13" ht="18" x14ac:dyDescent="0.3">
      <c r="A71" s="48">
        <v>79</v>
      </c>
      <c r="B71" s="9" t="s">
        <v>42</v>
      </c>
      <c r="G71" s="42"/>
    </row>
    <row r="72" spans="1:13" x14ac:dyDescent="0.3">
      <c r="A72" s="48">
        <v>81</v>
      </c>
      <c r="C72" s="103" t="s">
        <v>181</v>
      </c>
      <c r="D72" s="103"/>
      <c r="E72" s="40">
        <f>+'New Year-Full Year'!H$78+'New Year-Full Year'!H$80+'New Year-Full Year'!H$88+'New Year-Full Year'!H$100+'New Year-Full Year'!H$103+'New Year-Full Year'!H$118+'New Year-Full Year'!H$120+'New Year-Full Year'!H$123+'New Year-Full Year'!H$124+'New Year-Full Year'!H$128+'New Year-Full Year'!H$131+'New Year-Full Year'!H$127-'New Year-Full Year'!H118</f>
        <v>241818.19500000001</v>
      </c>
      <c r="F72" s="40">
        <f>+'New Year-Full Year'!I$78+'New Year-Full Year'!I$80+'New Year-Full Year'!I$88+'New Year-Full Year'!I$100+'New Year-Full Year'!I$103+'New Year-Full Year'!I$118+'New Year-Full Year'!I$120+'New Year-Full Year'!I$123+'New Year-Full Year'!I$124+'New Year-Full Year'!I$128+'New Year-Full Year'!I$131+'New Year-Full Year'!I$127-'New Year-Full Year'!I118</f>
        <v>266092.44</v>
      </c>
      <c r="G72" s="6">
        <f>IF(F72=0,"NA",(+E72-F72)/F72)</f>
        <v>-9.1224857797538306E-2</v>
      </c>
      <c r="I72" s="40">
        <f>+'New Year-Full Year'!M$78+'New Year-Full Year'!M$80+'New Year-Full Year'!M$88+'New Year-Full Year'!M$100+'New Year-Full Year'!M$103+'New Year-Full Year'!M$118+'New Year-Full Year'!M$120+'New Year-Full Year'!M$123+'New Year-Full Year'!M$124+'New Year-Full Year'!M$128+'New Year-Full Year'!M$131+'New Year-Full Year'!M$127-'New Year-Full Year'!M118</f>
        <v>212148.5</v>
      </c>
      <c r="J72" s="40">
        <f>+'New Year-Full Year'!N$78+'New Year-Full Year'!N$80+'New Year-Full Year'!N$88+'New Year-Full Year'!N$100+'New Year-Full Year'!N$103+'New Year-Full Year'!N$118+'New Year-Full Year'!N$120+'New Year-Full Year'!N$123+'New Year-Full Year'!N$124+'New Year-Full Year'!N$128+'New Year-Full Year'!N$131+'New Year-Full Year'!N$127-'New Year-Full Year'!N118</f>
        <v>222159.54</v>
      </c>
      <c r="K72" s="6">
        <f t="shared" ref="K72:K77" si="13">IF(J72=0,"NA",(+I72-J72)/J72)</f>
        <v>-4.506239074855848E-2</v>
      </c>
      <c r="M72" s="55"/>
    </row>
    <row r="73" spans="1:13" x14ac:dyDescent="0.3">
      <c r="C73" s="103" t="s">
        <v>182</v>
      </c>
      <c r="D73" s="103"/>
      <c r="E73" s="40"/>
      <c r="F73" s="40"/>
      <c r="G73" s="6"/>
      <c r="I73" s="40"/>
      <c r="J73" s="40"/>
      <c r="K73" s="6"/>
      <c r="M73" s="55"/>
    </row>
    <row r="74" spans="1:13" x14ac:dyDescent="0.3">
      <c r="C74" s="103" t="s">
        <v>250</v>
      </c>
      <c r="D74" s="103"/>
      <c r="E74" s="40">
        <f>+'New Year-Full Year'!H95</f>
        <v>5000</v>
      </c>
      <c r="F74" s="40">
        <f>+'New Year-Full Year'!I95</f>
        <v>0</v>
      </c>
      <c r="G74" s="6" t="str">
        <f>IF(F74=0,"NA",(+E74-F74)/F74)</f>
        <v>NA</v>
      </c>
      <c r="I74" s="40">
        <f>+'New Year-Full Year'!M95</f>
        <v>0</v>
      </c>
      <c r="J74" s="40">
        <f>+'New Year-Full Year'!N95</f>
        <v>0</v>
      </c>
      <c r="K74" s="6" t="str">
        <f t="shared" ref="K74" si="14">IF(J74=0,"NA",(+I74-J74)/J74)</f>
        <v>NA</v>
      </c>
      <c r="M74" s="55"/>
    </row>
    <row r="75" spans="1:13" x14ac:dyDescent="0.3">
      <c r="A75" s="48">
        <v>83</v>
      </c>
      <c r="C75" s="1" t="s">
        <v>118</v>
      </c>
      <c r="E75" s="40">
        <f>+'New Year-Full Year'!H81+'New Year-Full Year'!H82+'New Year-Full Year'!H84+'New Year-Full Year'!H104+'New Year-Full Year'!H105+'New Year-Full Year'!H106+'New Year-Full Year'!H109+'New Year-Full Year'!H129+'New Year-Full Year'!H130</f>
        <v>43123.978604999997</v>
      </c>
      <c r="F75" s="40">
        <f>+'New Year-Full Year'!I81+'New Year-Full Year'!I82+'New Year-Full Year'!I84+'New Year-Full Year'!I104+'New Year-Full Year'!I105+'New Year-Full Year'!I106+'New Year-Full Year'!I109+'New Year-Full Year'!I129+'New Year-Full Year'!I130</f>
        <v>53373.599999999999</v>
      </c>
      <c r="G75" s="6">
        <f>IF(F75=0,"NA",(+E75-F75)/F75)</f>
        <v>-0.19203541441836416</v>
      </c>
      <c r="I75" s="40">
        <f>+'New Year-Full Year'!M81+'New Year-Full Year'!M82+'New Year-Full Year'!M84+'New Year-Full Year'!M104+'New Year-Full Year'!M105+'New Year-Full Year'!M106+'New Year-Full Year'!M109+'New Year-Full Year'!M129+'New Year-Full Year'!M130</f>
        <v>43740.4</v>
      </c>
      <c r="J75" s="40">
        <f>+'New Year-Full Year'!N81+'New Year-Full Year'!N82+'New Year-Full Year'!N84+'New Year-Full Year'!N104+'New Year-Full Year'!N105+'New Year-Full Year'!N106+'New Year-Full Year'!N109+'New Year-Full Year'!N129+'New Year-Full Year'!N130</f>
        <v>44478.299999999996</v>
      </c>
      <c r="K75" s="6">
        <f t="shared" si="13"/>
        <v>-1.6590112481816847E-2</v>
      </c>
    </row>
    <row r="76" spans="1:13" x14ac:dyDescent="0.3">
      <c r="A76" s="48">
        <v>84</v>
      </c>
      <c r="C76" s="1" t="s">
        <v>119</v>
      </c>
      <c r="E76" s="40">
        <f>+'New Year-Full Year'!H83+'New Year-Full Year'!H79+'New Year-Full Year'!H89+'New Year-Full Year'!H94+'New Year-Full Year'!H107+'New Year-Full Year'!H108+'New Year-Full Year'!H125+'New Year-Full Year'!H126</f>
        <v>5200</v>
      </c>
      <c r="F76" s="40">
        <f>+'New Year-Full Year'!I83+'New Year-Full Year'!I79+'New Year-Full Year'!I89+'New Year-Full Year'!I94+'New Year-Full Year'!I107+'New Year-Full Year'!I108+'New Year-Full Year'!I125+'New Year-Full Year'!I126</f>
        <v>6900</v>
      </c>
      <c r="G76" s="6">
        <f>IF(F76=0,"NA",(+E76-F76)/F76)</f>
        <v>-0.24637681159420291</v>
      </c>
      <c r="I76" s="40">
        <f>+'New Year-Full Year'!M83+'New Year-Full Year'!M79+'New Year-Full Year'!M89+'New Year-Full Year'!M94+'New Year-Full Year'!M107+'New Year-Full Year'!M108+'New Year-Full Year'!M125+'New Year-Full Year'!M126</f>
        <v>3675.59</v>
      </c>
      <c r="J76" s="40">
        <f>+'New Year-Full Year'!N83+'New Year-Full Year'!N79+'New Year-Full Year'!N89+'New Year-Full Year'!N94+'New Year-Full Year'!N107+'New Year-Full Year'!N108+'New Year-Full Year'!N125+'New Year-Full Year'!N126</f>
        <v>5750</v>
      </c>
      <c r="K76" s="6">
        <f t="shared" si="13"/>
        <v>-0.36076695652173912</v>
      </c>
    </row>
    <row r="77" spans="1:13" s="4" customFormat="1" x14ac:dyDescent="0.3">
      <c r="A77" s="48">
        <v>86</v>
      </c>
      <c r="B77" s="26" t="s">
        <v>122</v>
      </c>
      <c r="C77" s="26"/>
      <c r="D77" s="26"/>
      <c r="E77" s="26">
        <f>SUM(E72:E76)</f>
        <v>295142.17360500002</v>
      </c>
      <c r="F77" s="26">
        <f>SUM(F72:F76)</f>
        <v>326366.03999999998</v>
      </c>
      <c r="G77" s="27">
        <f>IF(F77=0,"NA",(+E77-F77)/F77)</f>
        <v>-9.5671309413810218E-2</v>
      </c>
      <c r="I77" s="26">
        <f>SUM(I72:I76)</f>
        <v>259564.49</v>
      </c>
      <c r="J77" s="26">
        <f>SUM(J72:J76)</f>
        <v>272387.84000000003</v>
      </c>
      <c r="K77" s="27">
        <f t="shared" si="13"/>
        <v>-4.707754208117379E-2</v>
      </c>
    </row>
    <row r="78" spans="1:13" ht="8.25" customHeight="1" x14ac:dyDescent="0.3">
      <c r="A78" s="48">
        <v>129</v>
      </c>
      <c r="G78" s="42"/>
    </row>
    <row r="79" spans="1:13" ht="18" x14ac:dyDescent="0.3">
      <c r="A79" s="48">
        <v>130</v>
      </c>
      <c r="B79" s="9" t="s">
        <v>69</v>
      </c>
      <c r="G79" s="42"/>
    </row>
    <row r="80" spans="1:13" x14ac:dyDescent="0.3">
      <c r="A80" s="48">
        <v>131</v>
      </c>
      <c r="B80" s="4" t="s">
        <v>70</v>
      </c>
      <c r="G80" s="42"/>
    </row>
    <row r="81" spans="1:11" x14ac:dyDescent="0.3">
      <c r="A81" s="48">
        <v>132</v>
      </c>
      <c r="C81" s="1" t="s">
        <v>72</v>
      </c>
      <c r="E81" s="40">
        <f>+'New Year-Full Year'!H137</f>
        <v>9000</v>
      </c>
      <c r="F81" s="40">
        <f>+'New Year-Full Year'!I137</f>
        <v>17000</v>
      </c>
      <c r="G81" s="6">
        <f t="shared" ref="G81:G88" si="15">IF(F81=0,"NA",(+E81-F81)/F81)</f>
        <v>-0.47058823529411764</v>
      </c>
      <c r="I81" s="40">
        <f>+'New Year-Full Year'!M137</f>
        <v>9735.0300000000007</v>
      </c>
      <c r="J81" s="40">
        <f>+'New Year-Full Year'!N137</f>
        <v>14408.32</v>
      </c>
      <c r="K81" s="6">
        <f t="shared" ref="K81:K88" si="16">IF(J81=0,"NA",(+I81-J81)/J81)</f>
        <v>-0.3243466275041087</v>
      </c>
    </row>
    <row r="82" spans="1:11" x14ac:dyDescent="0.3">
      <c r="A82" s="48">
        <v>133</v>
      </c>
      <c r="C82" s="1" t="s">
        <v>73</v>
      </c>
      <c r="E82" s="40">
        <f>+'New Year-Full Year'!H138</f>
        <v>12000</v>
      </c>
      <c r="F82" s="40">
        <f>+'New Year-Full Year'!I138</f>
        <v>16000</v>
      </c>
      <c r="G82" s="6">
        <f t="shared" si="15"/>
        <v>-0.25</v>
      </c>
      <c r="I82" s="40">
        <f>+'New Year-Full Year'!M138</f>
        <v>6101.64</v>
      </c>
      <c r="J82" s="40">
        <f>+'New Year-Full Year'!N138</f>
        <v>13333.3</v>
      </c>
      <c r="K82" s="6">
        <f t="shared" si="16"/>
        <v>-0.54237585593963977</v>
      </c>
    </row>
    <row r="83" spans="1:11" x14ac:dyDescent="0.3">
      <c r="A83" s="48">
        <v>134</v>
      </c>
      <c r="C83" s="1" t="s">
        <v>74</v>
      </c>
      <c r="E83" s="40">
        <f>+'New Year-Full Year'!H139</f>
        <v>5976</v>
      </c>
      <c r="F83" s="40">
        <f>+'New Year-Full Year'!I139</f>
        <v>5976</v>
      </c>
      <c r="G83" s="6">
        <f t="shared" si="15"/>
        <v>0</v>
      </c>
      <c r="I83" s="40">
        <f>+'New Year-Full Year'!M139</f>
        <v>5396.37</v>
      </c>
      <c r="J83" s="40">
        <f>+'New Year-Full Year'!N139</f>
        <v>4980</v>
      </c>
      <c r="K83" s="6">
        <f t="shared" si="16"/>
        <v>8.3608433734939744E-2</v>
      </c>
    </row>
    <row r="84" spans="1:11" x14ac:dyDescent="0.3">
      <c r="A84" s="48">
        <v>135</v>
      </c>
      <c r="C84" s="1" t="s">
        <v>75</v>
      </c>
      <c r="E84" s="40">
        <f>+'New Year-Full Year'!H140</f>
        <v>800</v>
      </c>
      <c r="F84" s="40">
        <f>+'New Year-Full Year'!I140</f>
        <v>800</v>
      </c>
      <c r="G84" s="6">
        <f t="shared" si="15"/>
        <v>0</v>
      </c>
      <c r="I84" s="40">
        <f>+'New Year-Full Year'!M140</f>
        <v>793.16</v>
      </c>
      <c r="J84" s="40">
        <f>+'New Year-Full Year'!N140</f>
        <v>600</v>
      </c>
      <c r="K84" s="6">
        <f t="shared" si="16"/>
        <v>0.32193333333333329</v>
      </c>
    </row>
    <row r="85" spans="1:11" x14ac:dyDescent="0.3">
      <c r="A85" s="48">
        <v>136</v>
      </c>
      <c r="C85" s="1" t="s">
        <v>76</v>
      </c>
      <c r="E85" s="40">
        <f>+'New Year-Full Year'!H141</f>
        <v>350</v>
      </c>
      <c r="F85" s="40">
        <f>+'New Year-Full Year'!I141</f>
        <v>3300</v>
      </c>
      <c r="G85" s="6">
        <f t="shared" si="15"/>
        <v>-0.89393939393939392</v>
      </c>
      <c r="I85" s="40">
        <f>+'New Year-Full Year'!M141</f>
        <v>5156.6000000000004</v>
      </c>
      <c r="J85" s="40">
        <f>+'New Year-Full Year'!N141</f>
        <v>2750</v>
      </c>
      <c r="K85" s="6">
        <f t="shared" si="16"/>
        <v>0.87512727272727286</v>
      </c>
    </row>
    <row r="86" spans="1:11" x14ac:dyDescent="0.3">
      <c r="A86" s="48">
        <v>137</v>
      </c>
      <c r="C86" s="1" t="s">
        <v>77</v>
      </c>
      <c r="E86" s="40">
        <f>+'New Year-Full Year'!H142</f>
        <v>2800</v>
      </c>
      <c r="F86" s="40">
        <f>+'New Year-Full Year'!I142</f>
        <v>3300</v>
      </c>
      <c r="G86" s="6">
        <f t="shared" si="15"/>
        <v>-0.15151515151515152</v>
      </c>
      <c r="I86" s="40">
        <f>+'New Year-Full Year'!M142</f>
        <v>2520.0300000000002</v>
      </c>
      <c r="J86" s="40">
        <f>+'New Year-Full Year'!N142</f>
        <v>2750</v>
      </c>
      <c r="K86" s="6">
        <f t="shared" si="16"/>
        <v>-8.3625454545454475E-2</v>
      </c>
    </row>
    <row r="87" spans="1:11" x14ac:dyDescent="0.3">
      <c r="A87" s="48">
        <v>138</v>
      </c>
      <c r="C87" s="1" t="s">
        <v>123</v>
      </c>
      <c r="E87" s="40">
        <f>+'New Year-Full Year'!H143</f>
        <v>3900</v>
      </c>
      <c r="F87" s="40">
        <f>+'New Year-Full Year'!I143</f>
        <v>3900</v>
      </c>
      <c r="G87" s="6">
        <f t="shared" si="15"/>
        <v>0</v>
      </c>
      <c r="I87" s="40">
        <f>+'New Year-Full Year'!M143</f>
        <v>3918.59</v>
      </c>
      <c r="J87" s="40">
        <f>+'New Year-Full Year'!N143</f>
        <v>3900</v>
      </c>
      <c r="K87" s="6">
        <f t="shared" si="16"/>
        <v>4.7666666666667037E-3</v>
      </c>
    </row>
    <row r="88" spans="1:11" s="4" customFormat="1" x14ac:dyDescent="0.3">
      <c r="A88" s="48">
        <v>139</v>
      </c>
      <c r="B88" s="29" t="s">
        <v>78</v>
      </c>
      <c r="C88" s="29"/>
      <c r="D88" s="29"/>
      <c r="E88" s="29">
        <f>SUM(E81:E87)</f>
        <v>34826</v>
      </c>
      <c r="F88" s="29">
        <f>SUM(F81:F87)</f>
        <v>50276</v>
      </c>
      <c r="G88" s="30">
        <f t="shared" si="15"/>
        <v>-0.30730368366616279</v>
      </c>
      <c r="I88" s="29">
        <f>SUM(I81:I87)</f>
        <v>33621.42</v>
      </c>
      <c r="J88" s="29">
        <f>SUM(J81:J87)</f>
        <v>42721.619999999995</v>
      </c>
      <c r="K88" s="30">
        <f t="shared" si="16"/>
        <v>-0.21301158523482952</v>
      </c>
    </row>
    <row r="89" spans="1:11" s="4" customFormat="1" ht="6.75" customHeight="1" x14ac:dyDescent="0.3">
      <c r="A89" s="48">
        <v>140</v>
      </c>
      <c r="B89" s="17"/>
      <c r="C89" s="17"/>
      <c r="D89" s="17"/>
      <c r="E89" s="17"/>
      <c r="F89" s="17"/>
      <c r="G89" s="20"/>
      <c r="I89" s="17"/>
      <c r="J89" s="17"/>
      <c r="K89" s="20"/>
    </row>
    <row r="90" spans="1:11" x14ac:dyDescent="0.3">
      <c r="A90" s="48">
        <v>141</v>
      </c>
      <c r="B90" s="4" t="s">
        <v>79</v>
      </c>
      <c r="G90" s="42"/>
    </row>
    <row r="91" spans="1:11" x14ac:dyDescent="0.3">
      <c r="A91" s="48">
        <v>142</v>
      </c>
      <c r="C91" s="1" t="s">
        <v>80</v>
      </c>
      <c r="E91" s="40">
        <f>+'New Year-Full Year'!H147</f>
        <v>15143</v>
      </c>
      <c r="F91" s="40">
        <f>+'New Year-Full Year'!I147</f>
        <v>14730</v>
      </c>
      <c r="G91" s="6">
        <f t="shared" ref="G91:G98" si="17">IF(F91=0,"NA",(+E91-F91)/F91)</f>
        <v>2.8038017651052273E-2</v>
      </c>
      <c r="I91" s="40">
        <f>+'New Year-Full Year'!M147</f>
        <v>14884.5</v>
      </c>
      <c r="J91" s="40">
        <f>+'New Year-Full Year'!N147</f>
        <v>14730</v>
      </c>
      <c r="K91" s="6">
        <f t="shared" ref="K91:K98" si="18">IF(J91=0,"NA",(+I91-J91)/J91)</f>
        <v>1.0488798370672098E-2</v>
      </c>
    </row>
    <row r="92" spans="1:11" x14ac:dyDescent="0.3">
      <c r="A92" s="48">
        <v>143</v>
      </c>
      <c r="C92" s="1" t="s">
        <v>81</v>
      </c>
      <c r="E92" s="40">
        <f>+'New Year-Full Year'!H148</f>
        <v>5000</v>
      </c>
      <c r="F92" s="40">
        <f>+'New Year-Full Year'!I148</f>
        <v>5000</v>
      </c>
      <c r="G92" s="6">
        <f t="shared" si="17"/>
        <v>0</v>
      </c>
      <c r="I92" s="40">
        <f>+'New Year-Full Year'!M148</f>
        <v>3713.8</v>
      </c>
      <c r="J92" s="40">
        <f>+'New Year-Full Year'!N148</f>
        <v>3000</v>
      </c>
      <c r="K92" s="6">
        <f t="shared" si="18"/>
        <v>0.23793333333333339</v>
      </c>
    </row>
    <row r="93" spans="1:11" x14ac:dyDescent="0.3">
      <c r="A93" s="48">
        <v>144</v>
      </c>
      <c r="C93" s="1" t="s">
        <v>113</v>
      </c>
      <c r="E93" s="40">
        <f>+'New Year-Full Year'!H149</f>
        <v>2500</v>
      </c>
      <c r="F93" s="40">
        <f>+'New Year-Full Year'!I149</f>
        <v>2500</v>
      </c>
      <c r="G93" s="6">
        <f t="shared" si="17"/>
        <v>0</v>
      </c>
      <c r="I93" s="40">
        <f>+'New Year-Full Year'!M149</f>
        <v>3609.88</v>
      </c>
      <c r="J93" s="40">
        <f>+'New Year-Full Year'!N149</f>
        <v>2083.3000000000002</v>
      </c>
      <c r="K93" s="6">
        <f t="shared" si="18"/>
        <v>0.73277012432198907</v>
      </c>
    </row>
    <row r="94" spans="1:11" x14ac:dyDescent="0.3">
      <c r="A94" s="48">
        <v>145</v>
      </c>
      <c r="C94" s="103" t="s">
        <v>117</v>
      </c>
      <c r="D94" s="103"/>
      <c r="E94" s="40">
        <f>+'New Year-Full Year'!H150</f>
        <v>4300</v>
      </c>
      <c r="F94" s="40">
        <f>+'New Year-Full Year'!I150</f>
        <v>4300</v>
      </c>
      <c r="G94" s="6">
        <f t="shared" si="17"/>
        <v>0</v>
      </c>
      <c r="I94" s="40">
        <f>+'New Year-Full Year'!M150</f>
        <v>4060.88</v>
      </c>
      <c r="J94" s="40">
        <f>+'New Year-Full Year'!N150</f>
        <v>3583.3</v>
      </c>
      <c r="K94" s="6">
        <f t="shared" si="18"/>
        <v>0.13327937934306364</v>
      </c>
    </row>
    <row r="95" spans="1:11" x14ac:dyDescent="0.3">
      <c r="A95" s="48">
        <v>146</v>
      </c>
      <c r="C95" s="1" t="s">
        <v>82</v>
      </c>
      <c r="E95" s="40">
        <f>+'New Year-Full Year'!H151</f>
        <v>6000</v>
      </c>
      <c r="F95" s="40">
        <f>+'New Year-Full Year'!I151</f>
        <v>6000</v>
      </c>
      <c r="G95" s="6">
        <f t="shared" si="17"/>
        <v>0</v>
      </c>
      <c r="I95" s="40">
        <f>+'New Year-Full Year'!M151</f>
        <v>4246.75</v>
      </c>
      <c r="J95" s="40">
        <f>+'New Year-Full Year'!N151</f>
        <v>5000</v>
      </c>
      <c r="K95" s="6">
        <f t="shared" si="18"/>
        <v>-0.15065000000000001</v>
      </c>
    </row>
    <row r="96" spans="1:11" x14ac:dyDescent="0.3">
      <c r="A96" s="48">
        <v>149</v>
      </c>
      <c r="C96" s="1" t="s">
        <v>83</v>
      </c>
      <c r="E96" s="40">
        <f>+'New Year-Full Year'!H152</f>
        <v>0</v>
      </c>
      <c r="F96" s="40">
        <f>+'New Year-Full Year'!I152</f>
        <v>1650</v>
      </c>
      <c r="G96" s="6">
        <f t="shared" si="17"/>
        <v>-1</v>
      </c>
      <c r="I96" s="40">
        <f>+'New Year-Full Year'!M152</f>
        <v>1223.0999999999999</v>
      </c>
      <c r="J96" s="40">
        <f>+'New Year-Full Year'!N152</f>
        <v>1375</v>
      </c>
      <c r="K96" s="6">
        <f t="shared" si="18"/>
        <v>-0.11047272727272733</v>
      </c>
    </row>
    <row r="97" spans="1:11" s="4" customFormat="1" x14ac:dyDescent="0.3">
      <c r="A97" s="48">
        <v>150</v>
      </c>
      <c r="B97" s="29" t="s">
        <v>84</v>
      </c>
      <c r="C97" s="29"/>
      <c r="D97" s="29"/>
      <c r="E97" s="29">
        <f>SUM(E91:E96)</f>
        <v>32943</v>
      </c>
      <c r="F97" s="29">
        <f>SUM(F91:F96)</f>
        <v>34180</v>
      </c>
      <c r="G97" s="30">
        <f t="shared" si="17"/>
        <v>-3.6190754827384437E-2</v>
      </c>
      <c r="I97" s="29">
        <f>SUM(I91:I96)</f>
        <v>31738.91</v>
      </c>
      <c r="J97" s="29">
        <f>SUM(J91:J96)</f>
        <v>29771.599999999999</v>
      </c>
      <c r="K97" s="30">
        <f t="shared" si="18"/>
        <v>6.60800897499631E-2</v>
      </c>
    </row>
    <row r="98" spans="1:11" x14ac:dyDescent="0.3">
      <c r="A98" s="48">
        <v>151</v>
      </c>
      <c r="B98" s="29" t="s">
        <v>85</v>
      </c>
      <c r="C98" s="29"/>
      <c r="D98" s="29"/>
      <c r="E98" s="29">
        <f>+E88+E97</f>
        <v>67769</v>
      </c>
      <c r="F98" s="29">
        <f>+F88+F97</f>
        <v>84456</v>
      </c>
      <c r="G98" s="30">
        <f t="shared" si="17"/>
        <v>-0.19758217296580469</v>
      </c>
      <c r="I98" s="29">
        <f>+I88+I97</f>
        <v>65360.33</v>
      </c>
      <c r="J98" s="29">
        <f>+J88+J97</f>
        <v>72493.22</v>
      </c>
      <c r="K98" s="30">
        <f t="shared" si="18"/>
        <v>-9.8393891180444171E-2</v>
      </c>
    </row>
    <row r="99" spans="1:11" ht="4.5" customHeight="1" x14ac:dyDescent="0.3">
      <c r="A99" s="48">
        <v>152</v>
      </c>
      <c r="G99" s="42"/>
    </row>
    <row r="100" spans="1:11" ht="18" x14ac:dyDescent="0.3">
      <c r="A100" s="48">
        <v>153</v>
      </c>
      <c r="B100" s="9" t="s">
        <v>86</v>
      </c>
      <c r="G100" s="42"/>
    </row>
    <row r="101" spans="1:11" x14ac:dyDescent="0.3">
      <c r="A101" s="48">
        <v>154</v>
      </c>
      <c r="B101" s="4" t="s">
        <v>87</v>
      </c>
      <c r="G101" s="42"/>
    </row>
    <row r="102" spans="1:11" x14ac:dyDescent="0.3">
      <c r="A102" s="48">
        <v>155</v>
      </c>
      <c r="C102" s="1" t="s">
        <v>88</v>
      </c>
      <c r="E102" s="40">
        <f>SUM('New Year-Full Year'!H158:H158)</f>
        <v>11239</v>
      </c>
      <c r="F102" s="40">
        <f>SUM('New Year-Full Year'!I158:I158)</f>
        <v>0</v>
      </c>
      <c r="G102" s="6" t="str">
        <f t="shared" ref="G102:G107" si="19">IF(F102=0,"NA",(+E102-F102)/F102)</f>
        <v>NA</v>
      </c>
      <c r="I102" s="40">
        <f>SUM('New Year-Full Year'!M158:M158)</f>
        <v>0</v>
      </c>
      <c r="J102" s="40">
        <f>SUM('New Year-Full Year'!N158:N158)</f>
        <v>0</v>
      </c>
      <c r="K102" s="6" t="str">
        <f>IF(J102=0,"NA",(+I102-J102)/J102)</f>
        <v>NA</v>
      </c>
    </row>
    <row r="103" spans="1:11" x14ac:dyDescent="0.3">
      <c r="A103" s="48">
        <v>156</v>
      </c>
      <c r="C103" s="1" t="s">
        <v>253</v>
      </c>
      <c r="E103" s="40">
        <f>+'New Year-Full Year'!H159</f>
        <v>25000</v>
      </c>
      <c r="F103" s="40">
        <f>+'New Year-Full Year'!I159</f>
        <v>5203</v>
      </c>
      <c r="G103" s="6">
        <f t="shared" si="19"/>
        <v>3.8049202383240437</v>
      </c>
      <c r="I103" s="40">
        <f>+'New Year-Full Year'!M159</f>
        <v>0</v>
      </c>
      <c r="J103" s="40">
        <f>+'New Year-Full Year'!N159</f>
        <v>4335.8</v>
      </c>
      <c r="K103" s="6">
        <f>IF(J103=0,"NA",(+I103-J103)/J103)</f>
        <v>-1</v>
      </c>
    </row>
    <row r="104" spans="1:11" x14ac:dyDescent="0.3">
      <c r="C104" s="1" t="s">
        <v>251</v>
      </c>
      <c r="E104" s="40">
        <f>+'New Year-Full Year'!H160</f>
        <v>19000</v>
      </c>
      <c r="F104" s="40">
        <f>+'New Year-Full Year'!I160</f>
        <v>0</v>
      </c>
      <c r="G104" s="6" t="str">
        <f t="shared" si="19"/>
        <v>NA</v>
      </c>
      <c r="I104" s="40">
        <f>+'New Year-Full Year'!M160</f>
        <v>0</v>
      </c>
      <c r="J104" s="40">
        <f>+'New Year-Full Year'!N160</f>
        <v>0</v>
      </c>
      <c r="K104" s="6" t="str">
        <f>IF(J104=0,"NA",(+I104-J104)/J104)</f>
        <v>NA</v>
      </c>
    </row>
    <row r="105" spans="1:11" x14ac:dyDescent="0.3">
      <c r="A105" s="48">
        <v>157</v>
      </c>
      <c r="C105" s="1" t="s">
        <v>89</v>
      </c>
      <c r="E105" s="40">
        <f>+'New Year-Full Year'!H161</f>
        <v>0</v>
      </c>
      <c r="F105" s="40">
        <f>+'New Year-Full Year'!I161</f>
        <v>0</v>
      </c>
      <c r="G105" s="6" t="str">
        <f t="shared" si="19"/>
        <v>NA</v>
      </c>
      <c r="I105" s="40">
        <f>+'New Year-Full Year'!M161</f>
        <v>280</v>
      </c>
      <c r="J105" s="40">
        <f>+'New Year-Full Year'!N161</f>
        <v>0</v>
      </c>
      <c r="K105" s="6" t="str">
        <f>IF(J105=0,"NA",(+I105-J105)/J105)</f>
        <v>NA</v>
      </c>
    </row>
    <row r="106" spans="1:11" x14ac:dyDescent="0.3">
      <c r="A106" s="48">
        <v>158</v>
      </c>
      <c r="C106" s="1" t="s">
        <v>90</v>
      </c>
      <c r="E106" s="40">
        <f>+'New Year-Full Year'!H162</f>
        <v>0</v>
      </c>
      <c r="F106" s="40">
        <f>+'New Year-Full Year'!I162</f>
        <v>16980</v>
      </c>
      <c r="G106" s="6">
        <f t="shared" si="19"/>
        <v>-1</v>
      </c>
      <c r="I106" s="40">
        <f>+'New Year-Full Year'!M162</f>
        <v>0</v>
      </c>
      <c r="J106" s="40">
        <f>+'New Year-Full Year'!N162</f>
        <v>14150</v>
      </c>
      <c r="K106" s="6">
        <f>IF(J106=0,"NA",(+I106-J106)/J106)</f>
        <v>-1</v>
      </c>
    </row>
    <row r="107" spans="1:11" s="4" customFormat="1" x14ac:dyDescent="0.3">
      <c r="A107" s="48">
        <v>159</v>
      </c>
      <c r="B107" s="31" t="s">
        <v>91</v>
      </c>
      <c r="C107" s="31"/>
      <c r="D107" s="31"/>
      <c r="E107" s="31">
        <f>SUM(E102:E106)</f>
        <v>55239</v>
      </c>
      <c r="F107" s="31">
        <f>SUM(F102:F106)</f>
        <v>22183</v>
      </c>
      <c r="G107" s="32">
        <f t="shared" si="19"/>
        <v>1.490150114952892</v>
      </c>
      <c r="I107" s="31">
        <f>SUM(I102:I106)</f>
        <v>280</v>
      </c>
      <c r="J107" s="31">
        <f>SUM(J102:J106)</f>
        <v>18485.8</v>
      </c>
      <c r="K107" s="32">
        <f>IF(J107=0,"NA",(+I107-J107)/J107)</f>
        <v>-0.98485323870213892</v>
      </c>
    </row>
    <row r="108" spans="1:11" ht="7.5" customHeight="1" x14ac:dyDescent="0.3">
      <c r="A108" s="48">
        <v>160</v>
      </c>
      <c r="G108" s="42"/>
    </row>
    <row r="109" spans="1:11" x14ac:dyDescent="0.3">
      <c r="A109" s="48">
        <v>161</v>
      </c>
      <c r="B109" s="33" t="s">
        <v>92</v>
      </c>
      <c r="C109" s="34"/>
      <c r="D109" s="34"/>
      <c r="E109" s="33">
        <f>+E69+E98+E107+E24+E77</f>
        <v>539500.17360500002</v>
      </c>
      <c r="F109" s="33">
        <f>+F69+F98+F107+F24+F77</f>
        <v>555637.04</v>
      </c>
      <c r="G109" s="35">
        <f t="shared" ref="G109" si="20">IF(F109=0,"NA",(+E109-F109)/F109)</f>
        <v>-2.9042099848131109E-2</v>
      </c>
      <c r="I109" s="33">
        <f>+I69+I98+I107+I24+I77</f>
        <v>413989.65</v>
      </c>
      <c r="J109" s="33">
        <f>+J69+J98+J107+J24+J77</f>
        <v>464042.66000000003</v>
      </c>
      <c r="K109" s="35">
        <f>IF(J109=0,"NA",(+I109-J109)/J109)</f>
        <v>-0.10786294949692773</v>
      </c>
    </row>
    <row r="110" spans="1:11" x14ac:dyDescent="0.3">
      <c r="A110" s="48">
        <v>162</v>
      </c>
      <c r="B110" s="33" t="s">
        <v>93</v>
      </c>
      <c r="C110" s="34"/>
      <c r="D110" s="34"/>
      <c r="E110" s="33">
        <f>ROUND(+E21-E109,0)</f>
        <v>0</v>
      </c>
      <c r="F110" s="33">
        <f>ROUND(+F21-F109,0)</f>
        <v>0</v>
      </c>
      <c r="G110" s="54"/>
      <c r="I110" s="33">
        <f>ROUND(+I21-I109,0)</f>
        <v>85221</v>
      </c>
      <c r="J110" s="33">
        <f>ROUND(+J21-J109,0)</f>
        <v>5988</v>
      </c>
      <c r="K110" s="35">
        <f>IF(J110=0,"NA",(+I110-J110)/J110)</f>
        <v>13.231963927855711</v>
      </c>
    </row>
    <row r="111" spans="1:11" ht="7.2" customHeight="1" x14ac:dyDescent="0.3">
      <c r="G111" s="42"/>
    </row>
    <row r="112" spans="1:11" x14ac:dyDescent="0.3">
      <c r="C112" s="103" t="s">
        <v>252</v>
      </c>
      <c r="D112" s="103"/>
      <c r="E112" s="103"/>
      <c r="F112" s="103"/>
      <c r="G112" s="103"/>
      <c r="H112" s="103"/>
      <c r="I112" s="103"/>
      <c r="J112" s="103"/>
      <c r="K112" s="103"/>
    </row>
    <row r="113" spans="1:11" x14ac:dyDescent="0.3">
      <c r="D113" s="103"/>
      <c r="E113" s="103"/>
      <c r="G113" s="42"/>
    </row>
    <row r="114" spans="1:11" x14ac:dyDescent="0.3">
      <c r="G114" s="42"/>
    </row>
    <row r="115" spans="1:11" x14ac:dyDescent="0.3">
      <c r="G115" s="42"/>
    </row>
    <row r="116" spans="1:11" x14ac:dyDescent="0.3">
      <c r="G116" s="42"/>
    </row>
    <row r="117" spans="1:11" x14ac:dyDescent="0.3">
      <c r="A117" s="1"/>
      <c r="B117" s="1"/>
      <c r="G117" s="42"/>
      <c r="K117" s="1"/>
    </row>
    <row r="118" spans="1:11" x14ac:dyDescent="0.3">
      <c r="A118" s="1"/>
      <c r="B118" s="1"/>
      <c r="G118" s="42"/>
      <c r="K118" s="1"/>
    </row>
    <row r="119" spans="1:11" x14ac:dyDescent="0.3">
      <c r="A119" s="1"/>
      <c r="B119" s="1"/>
      <c r="G119" s="42"/>
      <c r="K119" s="1"/>
    </row>
    <row r="120" spans="1:11" x14ac:dyDescent="0.3">
      <c r="A120" s="1"/>
      <c r="B120" s="1"/>
      <c r="G120" s="42"/>
      <c r="K120" s="1"/>
    </row>
    <row r="121" spans="1:11" x14ac:dyDescent="0.3">
      <c r="A121" s="1"/>
      <c r="B121" s="1"/>
      <c r="G121" s="42"/>
      <c r="K121" s="1"/>
    </row>
    <row r="122" spans="1:11" x14ac:dyDescent="0.3">
      <c r="A122" s="1"/>
      <c r="B122" s="1"/>
      <c r="G122" s="42"/>
      <c r="K122" s="1"/>
    </row>
    <row r="123" spans="1:11" x14ac:dyDescent="0.3">
      <c r="A123" s="1"/>
      <c r="B123" s="1"/>
      <c r="G123" s="42"/>
      <c r="K123" s="1"/>
    </row>
    <row r="124" spans="1:11" x14ac:dyDescent="0.3">
      <c r="A124" s="1"/>
      <c r="B124" s="1"/>
      <c r="G124" s="42"/>
      <c r="K124" s="1"/>
    </row>
    <row r="125" spans="1:11" x14ac:dyDescent="0.3">
      <c r="A125" s="1"/>
      <c r="B125" s="1"/>
      <c r="G125" s="42"/>
      <c r="K125" s="1"/>
    </row>
    <row r="126" spans="1:11" x14ac:dyDescent="0.3">
      <c r="A126" s="1"/>
      <c r="B126" s="1"/>
      <c r="G126" s="42"/>
      <c r="K126" s="1"/>
    </row>
    <row r="127" spans="1:11" x14ac:dyDescent="0.3">
      <c r="A127" s="1"/>
      <c r="B127" s="1"/>
      <c r="G127" s="42"/>
      <c r="K127" s="1"/>
    </row>
    <row r="128" spans="1:11" x14ac:dyDescent="0.3">
      <c r="A128" s="1"/>
      <c r="B128" s="1"/>
      <c r="G128" s="42"/>
      <c r="K128" s="1"/>
    </row>
    <row r="129" spans="1:11" x14ac:dyDescent="0.3">
      <c r="A129" s="1"/>
      <c r="B129" s="1"/>
      <c r="G129" s="42"/>
      <c r="K129" s="1"/>
    </row>
    <row r="130" spans="1:11" x14ac:dyDescent="0.3">
      <c r="A130" s="1"/>
      <c r="B130" s="1"/>
      <c r="G130" s="42"/>
      <c r="K130" s="1"/>
    </row>
  </sheetData>
  <mergeCells count="10">
    <mergeCell ref="D113:E113"/>
    <mergeCell ref="C112:K112"/>
    <mergeCell ref="B1:K1"/>
    <mergeCell ref="B2:K2"/>
    <mergeCell ref="I3:K3"/>
    <mergeCell ref="C94:D94"/>
    <mergeCell ref="E3:G3"/>
    <mergeCell ref="C72:D72"/>
    <mergeCell ref="C73:D73"/>
    <mergeCell ref="C74:D74"/>
  </mergeCells>
  <pageMargins left="0" right="0" top="0" bottom="0.75" header="0.3" footer="0.05"/>
  <pageSetup scale="92" fitToHeight="0" orientation="portrait" r:id="rId1"/>
  <headerFooter>
    <oddFooter>&amp;C&amp;P of &amp;N&amp;R&amp;D</oddFooter>
  </headerFooter>
  <rowBreaks count="2" manualBreakCount="2">
    <brk id="52" max="16383" man="1"/>
    <brk id="89" max="16383" man="1"/>
  </rowBreaks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7"/>
  <sheetViews>
    <sheetView showGridLines="0" topLeftCell="B1" zoomScaleNormal="100" workbookViewId="0">
      <selection activeCell="B1" sqref="B1:P1"/>
    </sheetView>
  </sheetViews>
  <sheetFormatPr defaultColWidth="9.109375" defaultRowHeight="14.4" x14ac:dyDescent="0.3"/>
  <cols>
    <col min="1" max="1" width="4.44140625" style="48" hidden="1" customWidth="1"/>
    <col min="2" max="2" width="4.33203125" style="4" customWidth="1"/>
    <col min="3" max="3" width="9.109375" style="1"/>
    <col min="4" max="4" width="18.5546875" style="1" customWidth="1"/>
    <col min="5" max="5" width="8.88671875" style="1" hidden="1" customWidth="1"/>
    <col min="6" max="6" width="19.33203125" style="1" hidden="1" customWidth="1"/>
    <col min="7" max="7" width="10.5546875" style="1" customWidth="1"/>
    <col min="8" max="9" width="11.109375" style="1" customWidth="1"/>
    <col min="10" max="10" width="10.5546875" style="1" customWidth="1"/>
    <col min="11" max="11" width="9.33203125" style="1" customWidth="1"/>
    <col min="12" max="12" width="2.6640625" style="1" customWidth="1"/>
    <col min="13" max="13" width="10.88671875" style="1" customWidth="1"/>
    <col min="14" max="14" width="10.44140625" style="1" customWidth="1"/>
    <col min="15" max="15" width="9" style="7" customWidth="1"/>
    <col min="16" max="16" width="76.6640625" style="80" customWidth="1"/>
    <col min="17" max="17" width="58.6640625" style="38" customWidth="1"/>
    <col min="18" max="18" width="9.5546875" style="1" bestFit="1" customWidth="1"/>
    <col min="19" max="16384" width="9.109375" style="1"/>
  </cols>
  <sheetData>
    <row r="1" spans="1:17" ht="41.25" customHeight="1" x14ac:dyDescent="0.3">
      <c r="B1" s="104" t="s">
        <v>97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"/>
    </row>
    <row r="2" spans="1:17" ht="23.25" customHeight="1" x14ac:dyDescent="0.3">
      <c r="H2" s="109" t="s">
        <v>96</v>
      </c>
      <c r="I2" s="110"/>
      <c r="J2" s="110"/>
      <c r="K2" s="111"/>
      <c r="M2" s="113" t="s">
        <v>192</v>
      </c>
      <c r="N2" s="114"/>
      <c r="O2" s="115"/>
    </row>
    <row r="3" spans="1:17" ht="27.6" customHeight="1" x14ac:dyDescent="0.3">
      <c r="H3" s="118" t="s">
        <v>191</v>
      </c>
      <c r="I3" s="120" t="s">
        <v>125</v>
      </c>
      <c r="J3" s="116" t="s">
        <v>201</v>
      </c>
      <c r="K3" s="117"/>
      <c r="L3" s="73"/>
      <c r="M3" s="118" t="s">
        <v>243</v>
      </c>
      <c r="N3" s="120" t="s">
        <v>244</v>
      </c>
      <c r="O3" s="122" t="s">
        <v>95</v>
      </c>
    </row>
    <row r="4" spans="1:17" s="4" customFormat="1" x14ac:dyDescent="0.3">
      <c r="A4" s="49"/>
      <c r="H4" s="119"/>
      <c r="I4" s="121"/>
      <c r="J4" s="72" t="s">
        <v>189</v>
      </c>
      <c r="K4" s="74" t="s">
        <v>190</v>
      </c>
      <c r="M4" s="119"/>
      <c r="N4" s="121"/>
      <c r="O4" s="123"/>
      <c r="P4" s="81" t="s">
        <v>196</v>
      </c>
      <c r="Q4" s="8" t="s">
        <v>134</v>
      </c>
    </row>
    <row r="5" spans="1:17" s="4" customFormat="1" ht="18" x14ac:dyDescent="0.3">
      <c r="A5" s="49"/>
      <c r="B5" s="9" t="s">
        <v>0</v>
      </c>
      <c r="H5" s="10"/>
      <c r="I5" s="11"/>
      <c r="J5" s="43"/>
      <c r="K5" s="11"/>
      <c r="M5" s="11"/>
      <c r="N5" s="11"/>
      <c r="O5" s="11"/>
      <c r="P5" s="82"/>
      <c r="Q5" s="67"/>
    </row>
    <row r="6" spans="1:17" x14ac:dyDescent="0.3">
      <c r="A6" s="48">
        <v>1</v>
      </c>
      <c r="B6" s="4" t="s">
        <v>1</v>
      </c>
      <c r="Q6" s="66"/>
    </row>
    <row r="7" spans="1:17" x14ac:dyDescent="0.3">
      <c r="A7" s="48">
        <v>2</v>
      </c>
      <c r="C7" s="1" t="s">
        <v>1</v>
      </c>
      <c r="H7" s="75">
        <v>520000</v>
      </c>
      <c r="I7" s="75">
        <v>536137</v>
      </c>
      <c r="J7" s="40">
        <f>+H7-I7</f>
        <v>-16137</v>
      </c>
      <c r="K7" s="6">
        <f>IF(I7=0,"NA",(+H7-I7)/I7)</f>
        <v>-3.0098650158448308E-2</v>
      </c>
      <c r="M7" s="75">
        <v>479423.57</v>
      </c>
      <c r="N7" s="75">
        <v>457780.77</v>
      </c>
      <c r="O7" s="6">
        <f t="shared" ref="O7:O12" si="0">IF(N7=0,"NA",(+M7-N7)/N7)</f>
        <v>4.7277652139035869E-2</v>
      </c>
      <c r="P7" s="83" t="s">
        <v>210</v>
      </c>
      <c r="Q7" s="66" t="s">
        <v>151</v>
      </c>
    </row>
    <row r="8" spans="1:17" x14ac:dyDescent="0.3">
      <c r="A8" s="48">
        <v>4</v>
      </c>
      <c r="C8" s="1" t="s">
        <v>2</v>
      </c>
      <c r="H8" s="75">
        <f t="shared" ref="H8:H11" si="1">+I8</f>
        <v>4000</v>
      </c>
      <c r="I8" s="75">
        <v>4000</v>
      </c>
      <c r="J8" s="40">
        <f t="shared" ref="J8:J11" si="2">+H8-I8</f>
        <v>0</v>
      </c>
      <c r="K8" s="6">
        <f t="shared" ref="K8:K12" si="3">IF(I8=0,"NA",(+H8-I8)/I8)</f>
        <v>0</v>
      </c>
      <c r="M8" s="75">
        <v>3535</v>
      </c>
      <c r="N8" s="75">
        <v>4000</v>
      </c>
      <c r="O8" s="6">
        <f t="shared" si="0"/>
        <v>-0.11625000000000001</v>
      </c>
      <c r="P8" s="83"/>
      <c r="Q8" s="66" t="s">
        <v>126</v>
      </c>
    </row>
    <row r="9" spans="1:17" x14ac:dyDescent="0.3">
      <c r="A9" s="48">
        <v>5</v>
      </c>
      <c r="C9" s="1" t="s">
        <v>3</v>
      </c>
      <c r="H9" s="75">
        <f t="shared" si="1"/>
        <v>1000</v>
      </c>
      <c r="I9" s="75">
        <v>1000</v>
      </c>
      <c r="J9" s="40">
        <f t="shared" si="2"/>
        <v>0</v>
      </c>
      <c r="K9" s="6">
        <f t="shared" si="3"/>
        <v>0</v>
      </c>
      <c r="M9" s="75">
        <v>0</v>
      </c>
      <c r="N9" s="75">
        <v>0</v>
      </c>
      <c r="O9" s="6" t="str">
        <f t="shared" si="0"/>
        <v>NA</v>
      </c>
      <c r="P9" s="83"/>
      <c r="Q9" s="66" t="s">
        <v>126</v>
      </c>
    </row>
    <row r="10" spans="1:17" x14ac:dyDescent="0.3">
      <c r="A10" s="48">
        <v>6</v>
      </c>
      <c r="C10" s="1" t="s">
        <v>4</v>
      </c>
      <c r="H10" s="75">
        <f t="shared" si="1"/>
        <v>5000</v>
      </c>
      <c r="I10" s="75">
        <v>5000</v>
      </c>
      <c r="J10" s="40">
        <f t="shared" si="2"/>
        <v>0</v>
      </c>
      <c r="K10" s="6">
        <f t="shared" si="3"/>
        <v>0</v>
      </c>
      <c r="M10" s="75">
        <v>425</v>
      </c>
      <c r="N10" s="75">
        <v>0</v>
      </c>
      <c r="O10" s="6" t="str">
        <f t="shared" si="0"/>
        <v>NA</v>
      </c>
      <c r="P10" s="83"/>
      <c r="Q10" s="66" t="s">
        <v>126</v>
      </c>
    </row>
    <row r="11" spans="1:17" x14ac:dyDescent="0.3">
      <c r="A11" s="48">
        <v>7</v>
      </c>
      <c r="C11" s="1" t="s">
        <v>5</v>
      </c>
      <c r="H11" s="75">
        <f t="shared" si="1"/>
        <v>2000</v>
      </c>
      <c r="I11" s="75">
        <v>2000</v>
      </c>
      <c r="J11" s="40">
        <f t="shared" si="2"/>
        <v>0</v>
      </c>
      <c r="K11" s="6">
        <f t="shared" si="3"/>
        <v>0</v>
      </c>
      <c r="M11" s="75">
        <v>5142</v>
      </c>
      <c r="N11" s="75">
        <v>2000</v>
      </c>
      <c r="O11" s="6">
        <f t="shared" si="0"/>
        <v>1.571</v>
      </c>
      <c r="P11" s="83"/>
      <c r="Q11" s="66" t="s">
        <v>126</v>
      </c>
    </row>
    <row r="12" spans="1:17" x14ac:dyDescent="0.3">
      <c r="A12" s="48">
        <v>8</v>
      </c>
      <c r="B12" s="12" t="s">
        <v>6</v>
      </c>
      <c r="C12" s="12"/>
      <c r="D12" s="12"/>
      <c r="E12" s="12"/>
      <c r="F12" s="12"/>
      <c r="G12" s="12"/>
      <c r="H12" s="12">
        <f>SUM(H7:H11)</f>
        <v>532000</v>
      </c>
      <c r="I12" s="12">
        <f>SUM(I7:I11)</f>
        <v>548137</v>
      </c>
      <c r="J12" s="12">
        <f>SUM(J7:J11)</f>
        <v>-16137</v>
      </c>
      <c r="K12" s="13">
        <f t="shared" si="3"/>
        <v>-2.9439720361880334E-2</v>
      </c>
      <c r="M12" s="12">
        <f>SUM(M7:M11)</f>
        <v>488525.57</v>
      </c>
      <c r="N12" s="12">
        <f>SUM(N7:N11)</f>
        <v>463780.77</v>
      </c>
      <c r="O12" s="13">
        <f t="shared" si="0"/>
        <v>5.3354519205270172E-2</v>
      </c>
      <c r="P12" s="84"/>
      <c r="Q12" s="66"/>
    </row>
    <row r="13" spans="1:17" ht="5.25" customHeight="1" x14ac:dyDescent="0.3">
      <c r="A13" s="48">
        <v>9</v>
      </c>
      <c r="K13" s="7"/>
      <c r="P13" s="84"/>
      <c r="Q13" s="66"/>
    </row>
    <row r="14" spans="1:17" x14ac:dyDescent="0.3">
      <c r="A14" s="48">
        <v>10</v>
      </c>
      <c r="B14" s="4" t="s">
        <v>7</v>
      </c>
      <c r="K14" s="7"/>
      <c r="P14" s="84"/>
      <c r="Q14" s="66"/>
    </row>
    <row r="15" spans="1:17" x14ac:dyDescent="0.3">
      <c r="A15" s="48">
        <v>11</v>
      </c>
      <c r="C15" s="1" t="s">
        <v>8</v>
      </c>
      <c r="H15" s="75">
        <f>+I15</f>
        <v>7500</v>
      </c>
      <c r="I15" s="75">
        <v>7500</v>
      </c>
      <c r="J15" s="40">
        <f t="shared" ref="J15:J19" si="4">+H15-I15</f>
        <v>0</v>
      </c>
      <c r="K15" s="6">
        <f t="shared" ref="K15:K21" si="5">IF(I15=0,"NA",(+H15-I15)/I15)</f>
        <v>0</v>
      </c>
      <c r="M15" s="75">
        <v>6875.25</v>
      </c>
      <c r="N15" s="75">
        <v>6250</v>
      </c>
      <c r="O15" s="6">
        <f t="shared" ref="O15:O21" si="6">IF(N15=0,"NA",(+M15-N15)/N15)</f>
        <v>0.10004</v>
      </c>
      <c r="P15" s="83"/>
      <c r="Q15" s="66" t="s">
        <v>126</v>
      </c>
    </row>
    <row r="16" spans="1:17" x14ac:dyDescent="0.3">
      <c r="A16" s="48">
        <v>12</v>
      </c>
      <c r="C16" s="1" t="s">
        <v>7</v>
      </c>
      <c r="H16" s="75">
        <f t="shared" ref="H16:H19" si="7">+I16</f>
        <v>0</v>
      </c>
      <c r="I16" s="75">
        <v>0</v>
      </c>
      <c r="J16" s="40">
        <f t="shared" si="4"/>
        <v>0</v>
      </c>
      <c r="K16" s="6" t="str">
        <f t="shared" si="5"/>
        <v>NA</v>
      </c>
      <c r="M16" s="75">
        <v>3506</v>
      </c>
      <c r="N16" s="75">
        <v>0</v>
      </c>
      <c r="O16" s="6" t="str">
        <f t="shared" si="6"/>
        <v>NA</v>
      </c>
      <c r="P16" s="84"/>
      <c r="Q16" s="66"/>
    </row>
    <row r="17" spans="1:17" x14ac:dyDescent="0.3">
      <c r="A17" s="48">
        <v>13</v>
      </c>
      <c r="C17" s="1" t="s">
        <v>9</v>
      </c>
      <c r="H17" s="75">
        <f t="shared" si="7"/>
        <v>0</v>
      </c>
      <c r="I17" s="75">
        <v>0</v>
      </c>
      <c r="J17" s="40">
        <f t="shared" si="4"/>
        <v>0</v>
      </c>
      <c r="K17" s="6" t="str">
        <f t="shared" si="5"/>
        <v>NA</v>
      </c>
      <c r="M17" s="75">
        <v>0</v>
      </c>
      <c r="N17" s="75">
        <v>0</v>
      </c>
      <c r="O17" s="6" t="str">
        <f t="shared" si="6"/>
        <v>NA</v>
      </c>
      <c r="P17" s="84"/>
      <c r="Q17" s="66"/>
    </row>
    <row r="18" spans="1:17" x14ac:dyDescent="0.3">
      <c r="A18" s="48">
        <v>14</v>
      </c>
      <c r="C18" s="1" t="s">
        <v>11</v>
      </c>
      <c r="H18" s="75">
        <f t="shared" si="7"/>
        <v>0</v>
      </c>
      <c r="I18" s="75">
        <v>0</v>
      </c>
      <c r="J18" s="40">
        <f t="shared" si="4"/>
        <v>0</v>
      </c>
      <c r="K18" s="6" t="str">
        <f t="shared" si="5"/>
        <v>NA</v>
      </c>
      <c r="M18" s="75">
        <v>1.42</v>
      </c>
      <c r="N18" s="75">
        <v>0</v>
      </c>
      <c r="O18" s="6" t="str">
        <f t="shared" si="6"/>
        <v>NA</v>
      </c>
      <c r="P18" s="84"/>
      <c r="Q18" s="66"/>
    </row>
    <row r="19" spans="1:17" x14ac:dyDescent="0.3">
      <c r="A19" s="48">
        <v>15</v>
      </c>
      <c r="C19" s="1" t="s">
        <v>107</v>
      </c>
      <c r="H19" s="75">
        <f t="shared" si="7"/>
        <v>0</v>
      </c>
      <c r="I19" s="75">
        <v>0</v>
      </c>
      <c r="J19" s="40">
        <f t="shared" si="4"/>
        <v>0</v>
      </c>
      <c r="K19" s="6" t="str">
        <f t="shared" si="5"/>
        <v>NA</v>
      </c>
      <c r="M19" s="75">
        <v>302.10000000000002</v>
      </c>
      <c r="N19" s="75">
        <v>0</v>
      </c>
      <c r="O19" s="6" t="str">
        <f t="shared" si="6"/>
        <v>NA</v>
      </c>
      <c r="P19" s="84"/>
      <c r="Q19" s="66"/>
    </row>
    <row r="20" spans="1:17" x14ac:dyDescent="0.3">
      <c r="A20" s="48">
        <v>16</v>
      </c>
      <c r="B20" s="12" t="s">
        <v>10</v>
      </c>
      <c r="C20" s="12"/>
      <c r="D20" s="12"/>
      <c r="E20" s="12"/>
      <c r="F20" s="12"/>
      <c r="G20" s="12"/>
      <c r="H20" s="12">
        <f>SUM(H15:H19)</f>
        <v>7500</v>
      </c>
      <c r="I20" s="12">
        <f>SUM(I15:I19)</f>
        <v>7500</v>
      </c>
      <c r="J20" s="12">
        <f>SUM(J15:J19)</f>
        <v>0</v>
      </c>
      <c r="K20" s="13">
        <f t="shared" si="5"/>
        <v>0</v>
      </c>
      <c r="M20" s="12">
        <f t="shared" ref="M20:N20" si="8">SUM(M15:M19)</f>
        <v>10684.77</v>
      </c>
      <c r="N20" s="12">
        <f t="shared" si="8"/>
        <v>6250</v>
      </c>
      <c r="O20" s="13">
        <f t="shared" si="6"/>
        <v>0.70956320000000006</v>
      </c>
      <c r="P20" s="84"/>
      <c r="Q20" s="66"/>
    </row>
    <row r="21" spans="1:17" x14ac:dyDescent="0.3">
      <c r="A21" s="48">
        <v>17</v>
      </c>
      <c r="B21" s="12" t="s">
        <v>12</v>
      </c>
      <c r="C21" s="12"/>
      <c r="D21" s="12"/>
      <c r="E21" s="12"/>
      <c r="F21" s="12"/>
      <c r="G21" s="12"/>
      <c r="H21" s="12">
        <f>+H12+H20</f>
        <v>539500</v>
      </c>
      <c r="I21" s="12">
        <f>+I12+I20</f>
        <v>555637</v>
      </c>
      <c r="J21" s="12">
        <f>+J12+J20</f>
        <v>-16137</v>
      </c>
      <c r="K21" s="13">
        <f t="shared" si="5"/>
        <v>-2.9042342392605246E-2</v>
      </c>
      <c r="M21" s="12">
        <f t="shared" ref="M21:N21" si="9">+M12+M20</f>
        <v>499210.34</v>
      </c>
      <c r="N21" s="12">
        <f t="shared" si="9"/>
        <v>470030.77</v>
      </c>
      <c r="O21" s="13">
        <f t="shared" si="6"/>
        <v>6.2080127222309309E-2</v>
      </c>
      <c r="P21" s="84"/>
      <c r="Q21" s="66"/>
    </row>
    <row r="22" spans="1:17" ht="6" customHeight="1" x14ac:dyDescent="0.3">
      <c r="A22" s="48">
        <v>18</v>
      </c>
      <c r="K22" s="7"/>
      <c r="P22" s="84"/>
      <c r="Q22" s="66"/>
    </row>
    <row r="23" spans="1:17" ht="18" x14ac:dyDescent="0.3">
      <c r="A23" s="48">
        <v>19</v>
      </c>
      <c r="B23" s="9" t="s">
        <v>13</v>
      </c>
      <c r="K23" s="7"/>
      <c r="P23" s="84"/>
      <c r="Q23" s="66"/>
    </row>
    <row r="24" spans="1:17" ht="18" x14ac:dyDescent="0.3">
      <c r="A24" s="48">
        <v>20</v>
      </c>
      <c r="B24" s="9" t="s">
        <v>104</v>
      </c>
      <c r="K24" s="7"/>
      <c r="P24" s="84"/>
      <c r="Q24" s="66"/>
    </row>
    <row r="25" spans="1:17" x14ac:dyDescent="0.3">
      <c r="A25" s="48">
        <v>21</v>
      </c>
      <c r="C25" s="1" t="s">
        <v>14</v>
      </c>
      <c r="H25" s="1">
        <f>+H21</f>
        <v>539500</v>
      </c>
      <c r="I25" s="1">
        <f>+I21</f>
        <v>555637</v>
      </c>
      <c r="J25" s="40">
        <f t="shared" ref="J25:J28" si="10">+H25-I25</f>
        <v>-16137</v>
      </c>
      <c r="K25" s="7"/>
      <c r="P25" s="84"/>
      <c r="Q25" s="66"/>
    </row>
    <row r="26" spans="1:17" x14ac:dyDescent="0.3">
      <c r="A26" s="48">
        <v>23</v>
      </c>
      <c r="C26" s="1" t="s">
        <v>15</v>
      </c>
      <c r="H26" s="40">
        <f>-H162</f>
        <v>0</v>
      </c>
      <c r="I26" s="40">
        <f>-I162</f>
        <v>-16980</v>
      </c>
      <c r="J26" s="40">
        <f t="shared" si="10"/>
        <v>16980</v>
      </c>
      <c r="K26" s="7"/>
      <c r="M26" s="40"/>
      <c r="N26" s="40"/>
      <c r="P26" s="84"/>
      <c r="Q26" s="66"/>
    </row>
    <row r="27" spans="1:17" x14ac:dyDescent="0.3">
      <c r="A27" s="48">
        <v>24</v>
      </c>
      <c r="C27" s="1" t="s">
        <v>16</v>
      </c>
      <c r="H27" s="40">
        <f>-H152</f>
        <v>0</v>
      </c>
      <c r="I27" s="40">
        <f>-I152</f>
        <v>-1650</v>
      </c>
      <c r="J27" s="40">
        <f t="shared" si="10"/>
        <v>1650</v>
      </c>
      <c r="K27" s="7"/>
      <c r="M27" s="40"/>
      <c r="N27" s="40"/>
      <c r="P27" s="84"/>
      <c r="Q27" s="66"/>
    </row>
    <row r="28" spans="1:17" x14ac:dyDescent="0.3">
      <c r="A28" s="48">
        <v>25</v>
      </c>
      <c r="C28" s="1" t="s">
        <v>177</v>
      </c>
      <c r="H28" s="1">
        <f>SUM(H25:H27)</f>
        <v>539500</v>
      </c>
      <c r="I28" s="1">
        <f>SUM(I25:I27)</f>
        <v>537007</v>
      </c>
      <c r="J28" s="40">
        <f t="shared" si="10"/>
        <v>2493</v>
      </c>
      <c r="K28" s="7"/>
      <c r="P28" s="84"/>
      <c r="Q28" s="66"/>
    </row>
    <row r="29" spans="1:17" s="4" customFormat="1" x14ac:dyDescent="0.3">
      <c r="A29" s="48">
        <v>26</v>
      </c>
      <c r="B29" s="14"/>
      <c r="C29" s="15" t="s">
        <v>105</v>
      </c>
      <c r="D29" s="14"/>
      <c r="E29" s="14"/>
      <c r="F29" s="14"/>
      <c r="G29" s="14"/>
      <c r="H29" s="14">
        <f>ROUND(+H28*0.1,0)</f>
        <v>53950</v>
      </c>
      <c r="I29" s="14">
        <f>ROUND(+I28*0.1,0)</f>
        <v>53701</v>
      </c>
      <c r="J29" s="14">
        <f>ROUND(+J28*0.1,0)</f>
        <v>249</v>
      </c>
      <c r="K29" s="16">
        <f>IF(I29=0,"NA",(+H29-I29)/I29)</f>
        <v>4.6367851622874804E-3</v>
      </c>
      <c r="L29" s="1"/>
      <c r="M29" s="65">
        <v>42933.3</v>
      </c>
      <c r="N29" s="65">
        <v>42933.3</v>
      </c>
      <c r="O29" s="16">
        <f>IF(N29=0,"NA",(+M29-N29)/N29)</f>
        <v>0</v>
      </c>
      <c r="P29" s="85"/>
      <c r="Q29" s="66" t="s">
        <v>103</v>
      </c>
    </row>
    <row r="30" spans="1:17" s="4" customFormat="1" ht="6.75" customHeight="1" x14ac:dyDescent="0.3">
      <c r="A30" s="48">
        <v>27</v>
      </c>
      <c r="B30" s="17"/>
      <c r="C30" s="18"/>
      <c r="D30" s="17"/>
      <c r="E30" s="17"/>
      <c r="F30" s="17"/>
      <c r="G30" s="17"/>
      <c r="H30" s="17"/>
      <c r="I30" s="19"/>
      <c r="J30" s="17"/>
      <c r="K30" s="20"/>
      <c r="L30" s="1"/>
      <c r="M30" s="17"/>
      <c r="N30" s="17"/>
      <c r="O30" s="20"/>
      <c r="P30" s="86"/>
      <c r="Q30" s="67"/>
    </row>
    <row r="31" spans="1:17" s="4" customFormat="1" ht="18" x14ac:dyDescent="0.3">
      <c r="A31" s="48">
        <v>28</v>
      </c>
      <c r="B31" s="21" t="s">
        <v>71</v>
      </c>
      <c r="C31" s="18"/>
      <c r="D31" s="17"/>
      <c r="E31" s="17"/>
      <c r="F31" s="17"/>
      <c r="G31" s="17"/>
      <c r="H31" s="17"/>
      <c r="I31" s="19"/>
      <c r="J31" s="17"/>
      <c r="K31" s="20"/>
      <c r="L31" s="1"/>
      <c r="M31" s="17"/>
      <c r="N31" s="17"/>
      <c r="O31" s="20"/>
      <c r="P31" s="86"/>
      <c r="Q31" s="67"/>
    </row>
    <row r="32" spans="1:17" x14ac:dyDescent="0.3">
      <c r="A32" s="48">
        <v>29</v>
      </c>
      <c r="B32" s="4" t="s">
        <v>17</v>
      </c>
      <c r="K32" s="7"/>
      <c r="P32" s="84"/>
      <c r="Q32" s="66"/>
    </row>
    <row r="33" spans="1:17" x14ac:dyDescent="0.3">
      <c r="A33" s="48">
        <v>30</v>
      </c>
      <c r="C33" s="1" t="s">
        <v>94</v>
      </c>
      <c r="H33" s="75">
        <f>+I33</f>
        <v>3000</v>
      </c>
      <c r="I33" s="40">
        <v>3000</v>
      </c>
      <c r="J33" s="40">
        <f t="shared" ref="J33:J39" si="11">+H33-I33</f>
        <v>0</v>
      </c>
      <c r="K33" s="6">
        <f t="shared" ref="K33:K40" si="12">IF(I33=0,"NA",(+H33-I33)/I33)</f>
        <v>0</v>
      </c>
      <c r="M33" s="75">
        <v>620.04</v>
      </c>
      <c r="N33" s="75">
        <v>2500</v>
      </c>
      <c r="O33" s="6">
        <f t="shared" ref="O33:O40" si="13">IF(N33=0,"NA",(+M33-N33)/N33)</f>
        <v>-0.75198399999999999</v>
      </c>
      <c r="P33" s="83" t="s">
        <v>212</v>
      </c>
      <c r="Q33" s="66"/>
    </row>
    <row r="34" spans="1:17" ht="28.8" x14ac:dyDescent="0.3">
      <c r="A34" s="48">
        <v>31</v>
      </c>
      <c r="C34" s="1" t="s">
        <v>18</v>
      </c>
      <c r="H34" s="75">
        <v>1400</v>
      </c>
      <c r="I34" s="40">
        <v>1281</v>
      </c>
      <c r="J34" s="40">
        <f t="shared" si="11"/>
        <v>119</v>
      </c>
      <c r="K34" s="6">
        <f t="shared" si="12"/>
        <v>9.2896174863387984E-2</v>
      </c>
      <c r="M34" s="75">
        <v>367.13</v>
      </c>
      <c r="N34" s="75">
        <v>1067.5</v>
      </c>
      <c r="O34" s="6">
        <f t="shared" si="13"/>
        <v>-0.65608430913348947</v>
      </c>
      <c r="P34" s="87" t="s">
        <v>213</v>
      </c>
      <c r="Q34" s="66" t="s">
        <v>167</v>
      </c>
    </row>
    <row r="35" spans="1:17" x14ac:dyDescent="0.3">
      <c r="A35" s="48">
        <v>32</v>
      </c>
      <c r="C35" s="1" t="s">
        <v>19</v>
      </c>
      <c r="H35" s="75">
        <v>600</v>
      </c>
      <c r="I35" s="40">
        <v>1000</v>
      </c>
      <c r="J35" s="40">
        <f t="shared" si="11"/>
        <v>-400</v>
      </c>
      <c r="K35" s="6">
        <f t="shared" si="12"/>
        <v>-0.4</v>
      </c>
      <c r="M35" s="75">
        <v>1274.73</v>
      </c>
      <c r="N35" s="75">
        <v>1000</v>
      </c>
      <c r="O35" s="6">
        <f t="shared" si="13"/>
        <v>0.27473000000000003</v>
      </c>
      <c r="P35" s="87" t="s">
        <v>214</v>
      </c>
      <c r="Q35" s="66"/>
    </row>
    <row r="36" spans="1:17" ht="28.8" x14ac:dyDescent="0.3">
      <c r="A36" s="48">
        <v>33</v>
      </c>
      <c r="C36" s="1" t="s">
        <v>20</v>
      </c>
      <c r="H36" s="75">
        <v>500</v>
      </c>
      <c r="I36" s="40">
        <v>500</v>
      </c>
      <c r="J36" s="40">
        <f t="shared" si="11"/>
        <v>0</v>
      </c>
      <c r="K36" s="6">
        <f t="shared" si="12"/>
        <v>0</v>
      </c>
      <c r="M36" s="75">
        <v>538.5</v>
      </c>
      <c r="N36" s="75">
        <v>416.7</v>
      </c>
      <c r="O36" s="6">
        <f t="shared" si="13"/>
        <v>0.29229661627069836</v>
      </c>
      <c r="P36" s="83" t="s">
        <v>215</v>
      </c>
      <c r="Q36" s="66"/>
    </row>
    <row r="37" spans="1:17" ht="28.8" x14ac:dyDescent="0.3">
      <c r="A37" s="48">
        <v>34</v>
      </c>
      <c r="C37" s="1" t="s">
        <v>21</v>
      </c>
      <c r="H37" s="75">
        <v>400</v>
      </c>
      <c r="I37" s="40">
        <v>400</v>
      </c>
      <c r="J37" s="40">
        <f t="shared" si="11"/>
        <v>0</v>
      </c>
      <c r="K37" s="6">
        <f t="shared" si="12"/>
        <v>0</v>
      </c>
      <c r="M37" s="75">
        <v>0</v>
      </c>
      <c r="N37" s="75">
        <v>400</v>
      </c>
      <c r="O37" s="6">
        <f t="shared" si="13"/>
        <v>-1</v>
      </c>
      <c r="P37" s="87" t="s">
        <v>216</v>
      </c>
      <c r="Q37" s="66" t="s">
        <v>152</v>
      </c>
    </row>
    <row r="38" spans="1:17" x14ac:dyDescent="0.3">
      <c r="C38" s="1" t="s">
        <v>153</v>
      </c>
      <c r="H38" s="75">
        <v>750</v>
      </c>
      <c r="I38" s="40">
        <v>750</v>
      </c>
      <c r="J38" s="40">
        <f t="shared" si="11"/>
        <v>0</v>
      </c>
      <c r="K38" s="6">
        <f t="shared" ref="K38" si="14">IF(I38=0,"NA",(+H38-I38)/I38)</f>
        <v>0</v>
      </c>
      <c r="M38" s="75">
        <v>127.32</v>
      </c>
      <c r="N38" s="75">
        <v>625</v>
      </c>
      <c r="O38" s="6">
        <f t="shared" ref="O38" si="15">IF(N38=0,"NA",(+M38-N38)/N38)</f>
        <v>-0.796288</v>
      </c>
      <c r="P38" s="87" t="s">
        <v>217</v>
      </c>
      <c r="Q38" s="66" t="s">
        <v>154</v>
      </c>
    </row>
    <row r="39" spans="1:17" ht="28.8" x14ac:dyDescent="0.3">
      <c r="A39" s="48">
        <v>35</v>
      </c>
      <c r="C39" s="1" t="s">
        <v>98</v>
      </c>
      <c r="H39" s="75">
        <f t="shared" ref="H39" si="16">+I39</f>
        <v>400</v>
      </c>
      <c r="I39" s="40">
        <v>400</v>
      </c>
      <c r="J39" s="40">
        <f t="shared" si="11"/>
        <v>0</v>
      </c>
      <c r="K39" s="6">
        <f t="shared" si="12"/>
        <v>0</v>
      </c>
      <c r="M39" s="75">
        <v>0</v>
      </c>
      <c r="N39" s="75">
        <v>400</v>
      </c>
      <c r="O39" s="6">
        <f t="shared" si="13"/>
        <v>-1</v>
      </c>
      <c r="P39" s="87" t="s">
        <v>218</v>
      </c>
      <c r="Q39" s="68"/>
    </row>
    <row r="40" spans="1:17" s="4" customFormat="1" x14ac:dyDescent="0.3">
      <c r="A40" s="48">
        <v>36</v>
      </c>
      <c r="B40" s="22" t="s">
        <v>22</v>
      </c>
      <c r="C40" s="22"/>
      <c r="D40" s="22"/>
      <c r="E40" s="39"/>
      <c r="F40" s="39"/>
      <c r="G40" s="39"/>
      <c r="H40" s="22">
        <f>SUM(H33:H39)</f>
        <v>7050</v>
      </c>
      <c r="I40" s="39">
        <f>SUM(I33:I39)</f>
        <v>7331</v>
      </c>
      <c r="J40" s="39">
        <f>SUM(J33:J39)</f>
        <v>-281</v>
      </c>
      <c r="K40" s="23">
        <f t="shared" si="12"/>
        <v>-3.8330377847496933E-2</v>
      </c>
      <c r="M40" s="39">
        <f t="shared" ref="M40:N40" si="17">SUM(M33:M39)</f>
        <v>2927.7200000000003</v>
      </c>
      <c r="N40" s="39">
        <f t="shared" si="17"/>
        <v>6409.2</v>
      </c>
      <c r="O40" s="23">
        <f t="shared" si="13"/>
        <v>-0.54320039942582532</v>
      </c>
      <c r="P40" s="86"/>
      <c r="Q40" s="66"/>
    </row>
    <row r="41" spans="1:17" ht="6" customHeight="1" x14ac:dyDescent="0.3">
      <c r="A41" s="48">
        <v>37</v>
      </c>
      <c r="K41" s="7"/>
      <c r="P41" s="84"/>
      <c r="Q41" s="66"/>
    </row>
    <row r="42" spans="1:17" x14ac:dyDescent="0.3">
      <c r="A42" s="48">
        <v>40</v>
      </c>
      <c r="B42" s="4" t="s">
        <v>254</v>
      </c>
      <c r="K42" s="7"/>
      <c r="P42" s="84"/>
      <c r="Q42" s="66"/>
    </row>
    <row r="43" spans="1:17" ht="57.6" x14ac:dyDescent="0.3">
      <c r="A43" s="48">
        <v>41</v>
      </c>
      <c r="C43" s="1" t="s">
        <v>23</v>
      </c>
      <c r="H43" s="75">
        <v>6000</v>
      </c>
      <c r="I43" s="75">
        <v>5200</v>
      </c>
      <c r="J43" s="40">
        <f t="shared" ref="J43:J46" si="18">+H43-I43</f>
        <v>800</v>
      </c>
      <c r="K43" s="6">
        <f t="shared" ref="K43:K47" si="19">IF(I43=0,"NA",(+H43-I43)/I43)</f>
        <v>0.15384615384615385</v>
      </c>
      <c r="M43" s="75">
        <v>4540.32</v>
      </c>
      <c r="N43" s="75">
        <v>4333.3</v>
      </c>
      <c r="O43" s="6">
        <f>IF(N43=0,"NA",(+M43-N43)/N43)</f>
        <v>4.777421364779718E-2</v>
      </c>
      <c r="P43" s="87" t="s">
        <v>241</v>
      </c>
      <c r="Q43" s="66" t="s">
        <v>149</v>
      </c>
    </row>
    <row r="44" spans="1:17" x14ac:dyDescent="0.3">
      <c r="A44" s="48">
        <v>42</v>
      </c>
      <c r="C44" s="1" t="s">
        <v>219</v>
      </c>
      <c r="H44" s="75">
        <v>0</v>
      </c>
      <c r="I44" s="75">
        <v>1300</v>
      </c>
      <c r="J44" s="40">
        <f t="shared" si="18"/>
        <v>-1300</v>
      </c>
      <c r="K44" s="6">
        <f t="shared" si="19"/>
        <v>-1</v>
      </c>
      <c r="M44" s="77">
        <v>1650</v>
      </c>
      <c r="N44" s="77">
        <v>1083.3</v>
      </c>
      <c r="O44" s="6">
        <f>IF(N44=0,"NA",(+M44-N44)/N44)</f>
        <v>0.52312378842425922</v>
      </c>
      <c r="P44" s="84"/>
      <c r="Q44" s="66"/>
    </row>
    <row r="45" spans="1:17" x14ac:dyDescent="0.3">
      <c r="A45" s="48">
        <v>43</v>
      </c>
      <c r="C45" s="1" t="s">
        <v>25</v>
      </c>
      <c r="H45" s="75">
        <v>200</v>
      </c>
      <c r="I45" s="75">
        <v>200</v>
      </c>
      <c r="J45" s="40">
        <f t="shared" si="18"/>
        <v>0</v>
      </c>
      <c r="K45" s="6">
        <f t="shared" si="19"/>
        <v>0</v>
      </c>
      <c r="M45" s="75">
        <v>0</v>
      </c>
      <c r="N45" s="75">
        <v>166.7</v>
      </c>
      <c r="O45" s="6">
        <f>IF(N45=0,"NA",(+M45-N45)/N45)</f>
        <v>-1</v>
      </c>
      <c r="P45" s="83" t="s">
        <v>240</v>
      </c>
      <c r="Q45" s="66"/>
    </row>
    <row r="46" spans="1:17" x14ac:dyDescent="0.3">
      <c r="A46" s="48">
        <v>44</v>
      </c>
      <c r="C46" s="1" t="s">
        <v>26</v>
      </c>
      <c r="H46" s="75">
        <f t="shared" ref="H46" si="20">+I46</f>
        <v>200</v>
      </c>
      <c r="I46" s="75">
        <v>200</v>
      </c>
      <c r="J46" s="40">
        <f t="shared" si="18"/>
        <v>0</v>
      </c>
      <c r="K46" s="6">
        <f t="shared" si="19"/>
        <v>0</v>
      </c>
      <c r="M46" s="75">
        <v>-25.1</v>
      </c>
      <c r="N46" s="75">
        <v>166.7</v>
      </c>
      <c r="O46" s="6">
        <f>IF(N46=0,"NA",(+M46-N46)/N46)</f>
        <v>-1.1505698860227953</v>
      </c>
      <c r="P46" s="84"/>
      <c r="Q46" s="78" t="s">
        <v>150</v>
      </c>
    </row>
    <row r="47" spans="1:17" s="4" customFormat="1" x14ac:dyDescent="0.3">
      <c r="A47" s="48">
        <v>45</v>
      </c>
      <c r="B47" s="22" t="s">
        <v>255</v>
      </c>
      <c r="C47" s="22"/>
      <c r="D47" s="22"/>
      <c r="E47" s="39"/>
      <c r="F47" s="39"/>
      <c r="G47" s="39"/>
      <c r="H47" s="22">
        <f>SUM(H43:H46)</f>
        <v>6400</v>
      </c>
      <c r="I47" s="39">
        <f>SUM(I43:I46)</f>
        <v>6900</v>
      </c>
      <c r="J47" s="39">
        <f>SUM(J43:J46)</f>
        <v>-500</v>
      </c>
      <c r="K47" s="23">
        <f t="shared" si="19"/>
        <v>-7.2463768115942032E-2</v>
      </c>
      <c r="M47" s="39">
        <f>SUM(M43:M46)</f>
        <v>6165.2199999999993</v>
      </c>
      <c r="N47" s="39">
        <f>SUM(N43:N46)</f>
        <v>5750</v>
      </c>
      <c r="O47" s="23">
        <f>IF(N47=0,"NA",(+M47-N47)/N47)</f>
        <v>7.2212173913043368E-2</v>
      </c>
      <c r="P47" s="84"/>
      <c r="Q47" s="67"/>
    </row>
    <row r="48" spans="1:17" ht="6.75" customHeight="1" x14ac:dyDescent="0.3">
      <c r="A48" s="48">
        <v>46</v>
      </c>
      <c r="K48" s="7"/>
      <c r="P48" s="84"/>
      <c r="Q48" s="66"/>
    </row>
    <row r="49" spans="1:17" s="4" customFormat="1" ht="28.8" x14ac:dyDescent="0.3">
      <c r="A49" s="48">
        <v>51</v>
      </c>
      <c r="B49" s="22" t="s">
        <v>27</v>
      </c>
      <c r="C49" s="22"/>
      <c r="D49" s="22"/>
      <c r="E49" s="39"/>
      <c r="F49" s="39"/>
      <c r="G49" s="39"/>
      <c r="H49" s="71">
        <v>11000</v>
      </c>
      <c r="I49" s="71">
        <v>11000</v>
      </c>
      <c r="J49" s="50">
        <f t="shared" ref="J49" si="21">+H49-I49</f>
        <v>0</v>
      </c>
      <c r="K49" s="23">
        <f t="shared" ref="K49" si="22">IF(I49=0,"NA",(+H49-I49)/I49)</f>
        <v>0</v>
      </c>
      <c r="M49" s="71">
        <v>6673.79</v>
      </c>
      <c r="N49" s="71">
        <v>9166.7000000000007</v>
      </c>
      <c r="O49" s="23">
        <f>IF(N49=0,"NA",(+M49-N49)/N49)</f>
        <v>-0.27195282926243913</v>
      </c>
      <c r="P49" s="83"/>
      <c r="Q49" s="67" t="s">
        <v>155</v>
      </c>
    </row>
    <row r="50" spans="1:17" ht="6.75" customHeight="1" x14ac:dyDescent="0.3">
      <c r="A50" s="48">
        <v>52</v>
      </c>
      <c r="K50" s="7"/>
      <c r="P50" s="84"/>
      <c r="Q50" s="66"/>
    </row>
    <row r="51" spans="1:17" x14ac:dyDescent="0.3">
      <c r="A51" s="48">
        <v>53</v>
      </c>
      <c r="B51" s="4" t="s">
        <v>106</v>
      </c>
      <c r="K51" s="7"/>
      <c r="P51" s="84"/>
      <c r="Q51" s="66"/>
    </row>
    <row r="52" spans="1:17" x14ac:dyDescent="0.3">
      <c r="A52" s="48">
        <v>54</v>
      </c>
      <c r="C52" s="1" t="s">
        <v>108</v>
      </c>
      <c r="H52" s="75">
        <v>400</v>
      </c>
      <c r="I52" s="75">
        <v>400</v>
      </c>
      <c r="J52" s="40">
        <f t="shared" ref="J52:J53" si="23">+H52-I52</f>
        <v>0</v>
      </c>
      <c r="K52" s="6">
        <f t="shared" ref="K52:K54" si="24">IF(I52=0,"NA",(+H52-I52)/I52)</f>
        <v>0</v>
      </c>
      <c r="M52" s="75">
        <v>-115.52</v>
      </c>
      <c r="N52" s="75">
        <v>400</v>
      </c>
      <c r="O52" s="6">
        <f>IF(N52=0,"NA",(+M52-N52)/N52)</f>
        <v>-1.2887999999999999</v>
      </c>
      <c r="P52" s="83"/>
      <c r="Q52" s="66" t="s">
        <v>131</v>
      </c>
    </row>
    <row r="53" spans="1:17" x14ac:dyDescent="0.3">
      <c r="A53" s="48">
        <v>55</v>
      </c>
      <c r="C53" s="1" t="s">
        <v>102</v>
      </c>
      <c r="H53" s="75">
        <v>500</v>
      </c>
      <c r="I53" s="75">
        <v>500</v>
      </c>
      <c r="J53" s="40">
        <f t="shared" si="23"/>
        <v>0</v>
      </c>
      <c r="K53" s="6">
        <f t="shared" si="24"/>
        <v>0</v>
      </c>
      <c r="M53" s="75">
        <v>0</v>
      </c>
      <c r="N53" s="75">
        <v>416.7</v>
      </c>
      <c r="O53" s="6">
        <f>IF(N53=0,"NA",(+M53-N53)/N53)</f>
        <v>-1</v>
      </c>
      <c r="P53" s="83"/>
      <c r="Q53" s="66" t="s">
        <v>156</v>
      </c>
    </row>
    <row r="54" spans="1:17" s="4" customFormat="1" x14ac:dyDescent="0.3">
      <c r="A54" s="48">
        <v>56</v>
      </c>
      <c r="B54" s="22" t="s">
        <v>101</v>
      </c>
      <c r="C54" s="22"/>
      <c r="D54" s="22"/>
      <c r="E54" s="39"/>
      <c r="F54" s="39"/>
      <c r="G54" s="39"/>
      <c r="H54" s="22">
        <f>SUM(H52:H53)</f>
        <v>900</v>
      </c>
      <c r="I54" s="39">
        <f>SUM(I52:I53)</f>
        <v>900</v>
      </c>
      <c r="J54" s="39">
        <f>SUM(J52:J53)</f>
        <v>0</v>
      </c>
      <c r="K54" s="23">
        <f t="shared" si="24"/>
        <v>0</v>
      </c>
      <c r="M54" s="39">
        <f>SUM(M52:M53)</f>
        <v>-115.52</v>
      </c>
      <c r="N54" s="39">
        <f>SUM(N52:N53)</f>
        <v>816.7</v>
      </c>
      <c r="O54" s="23">
        <f>IF(N54=0,"NA",(+M54-N54)/N54)</f>
        <v>-1.1414472878658013</v>
      </c>
      <c r="P54" s="86"/>
      <c r="Q54" s="67"/>
    </row>
    <row r="55" spans="1:17" ht="5.25" customHeight="1" x14ac:dyDescent="0.3">
      <c r="A55" s="48">
        <v>57</v>
      </c>
      <c r="K55" s="7"/>
      <c r="P55" s="84"/>
      <c r="Q55" s="66"/>
    </row>
    <row r="56" spans="1:17" ht="28.8" x14ac:dyDescent="0.3">
      <c r="A56" s="48">
        <v>58</v>
      </c>
      <c r="B56" s="22" t="s">
        <v>28</v>
      </c>
      <c r="C56" s="24"/>
      <c r="D56" s="24"/>
      <c r="E56" s="24"/>
      <c r="F56" s="24"/>
      <c r="G56" s="24"/>
      <c r="H56" s="76">
        <v>250</v>
      </c>
      <c r="I56" s="76">
        <v>200</v>
      </c>
      <c r="J56" s="50">
        <f t="shared" ref="J56" si="25">+H56-I56</f>
        <v>50</v>
      </c>
      <c r="K56" s="23">
        <f>IF(I56=0,"NA",(+H56-I56)/I56)</f>
        <v>0.25</v>
      </c>
      <c r="M56" s="76">
        <v>200</v>
      </c>
      <c r="N56" s="76">
        <v>200</v>
      </c>
      <c r="O56" s="23">
        <f>IF(N56=0,"NA",(+M56-N56)/N56)</f>
        <v>0</v>
      </c>
      <c r="P56" s="83" t="s">
        <v>206</v>
      </c>
      <c r="Q56" s="66" t="s">
        <v>116</v>
      </c>
    </row>
    <row r="57" spans="1:17" ht="6" customHeight="1" x14ac:dyDescent="0.3">
      <c r="A57" s="48">
        <v>59</v>
      </c>
      <c r="K57" s="7"/>
      <c r="P57" s="84"/>
      <c r="Q57" s="66"/>
    </row>
    <row r="58" spans="1:17" x14ac:dyDescent="0.3">
      <c r="A58" s="48">
        <v>60</v>
      </c>
      <c r="B58" s="4" t="s">
        <v>29</v>
      </c>
      <c r="K58" s="7"/>
      <c r="P58" s="84"/>
      <c r="Q58" s="66"/>
    </row>
    <row r="59" spans="1:17" x14ac:dyDescent="0.3">
      <c r="A59" s="48">
        <v>61</v>
      </c>
      <c r="C59" s="1" t="s">
        <v>30</v>
      </c>
      <c r="H59" s="40">
        <f>+I59</f>
        <v>200</v>
      </c>
      <c r="I59" s="75">
        <v>200</v>
      </c>
      <c r="J59" s="40">
        <f t="shared" ref="J59:J64" si="26">+H59-I59</f>
        <v>0</v>
      </c>
      <c r="K59" s="6">
        <f t="shared" ref="K59:K65" si="27">IF(I59=0,"NA",(+H59-I59)/I59)</f>
        <v>0</v>
      </c>
      <c r="M59" s="75">
        <v>0</v>
      </c>
      <c r="N59" s="75">
        <v>0</v>
      </c>
      <c r="O59" s="6" t="str">
        <f t="shared" ref="O59:O65" si="28">IF(N59=0,"NA",(+M59-N59)/N59)</f>
        <v>NA</v>
      </c>
      <c r="P59" s="84"/>
      <c r="Q59" s="66"/>
    </row>
    <row r="60" spans="1:17" ht="15.6" x14ac:dyDescent="0.3">
      <c r="A60" s="48">
        <v>62</v>
      </c>
      <c r="C60" s="1" t="s">
        <v>31</v>
      </c>
      <c r="H60" s="40">
        <f t="shared" ref="H60:H64" si="29">+I60</f>
        <v>800</v>
      </c>
      <c r="I60" s="75">
        <v>800</v>
      </c>
      <c r="J60" s="40">
        <f t="shared" si="26"/>
        <v>0</v>
      </c>
      <c r="K60" s="6">
        <f t="shared" si="27"/>
        <v>0</v>
      </c>
      <c r="M60" s="75">
        <v>71.7</v>
      </c>
      <c r="N60" s="75">
        <v>800</v>
      </c>
      <c r="O60" s="6">
        <f t="shared" si="28"/>
        <v>-0.91037499999999993</v>
      </c>
      <c r="P60" s="88" t="s">
        <v>203</v>
      </c>
      <c r="Q60" s="66"/>
    </row>
    <row r="61" spans="1:17" ht="45.75" customHeight="1" x14ac:dyDescent="0.3">
      <c r="A61" s="48">
        <v>63</v>
      </c>
      <c r="C61" s="1" t="s">
        <v>32</v>
      </c>
      <c r="H61" s="77">
        <f>1200+(150*2*5)</f>
        <v>2700</v>
      </c>
      <c r="I61" s="75">
        <v>1200</v>
      </c>
      <c r="J61" s="40">
        <f t="shared" si="26"/>
        <v>1500</v>
      </c>
      <c r="K61" s="6">
        <f t="shared" si="27"/>
        <v>1.25</v>
      </c>
      <c r="M61" s="75">
        <v>1025</v>
      </c>
      <c r="N61" s="75">
        <v>1200</v>
      </c>
      <c r="O61" s="6">
        <f t="shared" si="28"/>
        <v>-0.14583333333333334</v>
      </c>
      <c r="P61" s="89" t="s">
        <v>220</v>
      </c>
      <c r="Q61" s="70" t="s">
        <v>193</v>
      </c>
    </row>
    <row r="62" spans="1:17" ht="70.5" customHeight="1" x14ac:dyDescent="0.3">
      <c r="A62" s="48">
        <v>64</v>
      </c>
      <c r="C62" s="1" t="s">
        <v>33</v>
      </c>
      <c r="H62" s="77">
        <v>10000</v>
      </c>
      <c r="I62" s="75">
        <v>6000</v>
      </c>
      <c r="J62" s="40">
        <f t="shared" si="26"/>
        <v>4000</v>
      </c>
      <c r="K62" s="6">
        <f t="shared" si="27"/>
        <v>0.66666666666666663</v>
      </c>
      <c r="M62" s="75">
        <v>8229.1299999999992</v>
      </c>
      <c r="N62" s="75">
        <v>5000</v>
      </c>
      <c r="O62" s="6">
        <f t="shared" si="28"/>
        <v>0.64582599999999979</v>
      </c>
      <c r="P62" s="87" t="s">
        <v>202</v>
      </c>
      <c r="Q62" s="68" t="s">
        <v>187</v>
      </c>
    </row>
    <row r="63" spans="1:17" ht="28.8" x14ac:dyDescent="0.3">
      <c r="C63" s="1" t="s">
        <v>184</v>
      </c>
      <c r="H63" s="77">
        <v>300</v>
      </c>
      <c r="I63" s="75">
        <v>300</v>
      </c>
      <c r="J63" s="40">
        <f t="shared" ref="J63" si="30">+H63-I63</f>
        <v>0</v>
      </c>
      <c r="K63" s="6">
        <f t="shared" ref="K63" si="31">IF(I63=0,"NA",(+H63-I63)/I63)</f>
        <v>0</v>
      </c>
      <c r="M63" s="75">
        <v>0</v>
      </c>
      <c r="N63" s="75">
        <v>250</v>
      </c>
      <c r="O63" s="6">
        <f t="shared" ref="O63" si="32">IF(N63=0,"NA",(+M63-N63)/N63)</f>
        <v>-1</v>
      </c>
      <c r="P63" s="87" t="s">
        <v>203</v>
      </c>
      <c r="Q63" s="68" t="s">
        <v>185</v>
      </c>
    </row>
    <row r="64" spans="1:17" x14ac:dyDescent="0.3">
      <c r="A64" s="48">
        <v>65</v>
      </c>
      <c r="C64" s="1" t="s">
        <v>200</v>
      </c>
      <c r="H64" s="40">
        <f t="shared" si="29"/>
        <v>800</v>
      </c>
      <c r="I64" s="75">
        <v>800</v>
      </c>
      <c r="J64" s="40">
        <f t="shared" si="26"/>
        <v>0</v>
      </c>
      <c r="K64" s="6">
        <f t="shared" si="27"/>
        <v>0</v>
      </c>
      <c r="M64" s="77">
        <v>325.92</v>
      </c>
      <c r="N64" s="77">
        <v>400</v>
      </c>
      <c r="O64" s="6">
        <f t="shared" si="28"/>
        <v>-0.18519999999999995</v>
      </c>
      <c r="P64" s="83" t="s">
        <v>203</v>
      </c>
      <c r="Q64" s="66" t="s">
        <v>199</v>
      </c>
    </row>
    <row r="65" spans="1:17" s="4" customFormat="1" x14ac:dyDescent="0.3">
      <c r="A65" s="48">
        <v>66</v>
      </c>
      <c r="B65" s="22" t="s">
        <v>35</v>
      </c>
      <c r="C65" s="22"/>
      <c r="D65" s="22"/>
      <c r="E65" s="39"/>
      <c r="F65" s="39"/>
      <c r="G65" s="39"/>
      <c r="H65" s="22">
        <f>SUM(H59:H64)</f>
        <v>14800</v>
      </c>
      <c r="I65" s="39">
        <f>SUM(I59:I64)</f>
        <v>9300</v>
      </c>
      <c r="J65" s="39">
        <f>SUM(J59:J64)</f>
        <v>5500</v>
      </c>
      <c r="K65" s="23">
        <f t="shared" si="27"/>
        <v>0.59139784946236562</v>
      </c>
      <c r="M65" s="39">
        <f>SUM(M59:M64)</f>
        <v>9651.75</v>
      </c>
      <c r="N65" s="39">
        <f>SUM(N59:N64)</f>
        <v>7650</v>
      </c>
      <c r="O65" s="23">
        <f t="shared" si="28"/>
        <v>0.26166666666666666</v>
      </c>
      <c r="P65" s="86"/>
      <c r="Q65" s="67"/>
    </row>
    <row r="66" spans="1:17" ht="6" customHeight="1" x14ac:dyDescent="0.3">
      <c r="A66" s="48">
        <v>67</v>
      </c>
      <c r="K66" s="7"/>
      <c r="P66" s="84"/>
      <c r="Q66" s="66"/>
    </row>
    <row r="67" spans="1:17" x14ac:dyDescent="0.3">
      <c r="A67" s="48">
        <v>68</v>
      </c>
      <c r="B67" s="4" t="s">
        <v>36</v>
      </c>
      <c r="K67" s="7"/>
      <c r="P67" s="84"/>
      <c r="Q67" s="66"/>
    </row>
    <row r="68" spans="1:17" ht="58.5" customHeight="1" x14ac:dyDescent="0.3">
      <c r="A68" s="48">
        <v>69</v>
      </c>
      <c r="C68" s="1" t="s">
        <v>37</v>
      </c>
      <c r="H68" s="77">
        <f>4500+200</f>
        <v>4700</v>
      </c>
      <c r="I68" s="75">
        <v>5000</v>
      </c>
      <c r="J68" s="40">
        <f t="shared" ref="J68:J72" si="33">+H68-I68</f>
        <v>-300</v>
      </c>
      <c r="K68" s="6">
        <f t="shared" ref="K68:K74" si="34">IF(I68=0,"NA",(+H68-I68)/I68)</f>
        <v>-0.06</v>
      </c>
      <c r="M68" s="75">
        <v>3446.62</v>
      </c>
      <c r="N68" s="75">
        <v>4166.7</v>
      </c>
      <c r="O68" s="6">
        <f t="shared" ref="O68:O74" si="35">IF(N68=0,"NA",(+M68-N68)/N68)</f>
        <v>-0.17281781745746033</v>
      </c>
      <c r="P68" s="87" t="s">
        <v>221</v>
      </c>
      <c r="Q68" s="68" t="s">
        <v>157</v>
      </c>
    </row>
    <row r="69" spans="1:17" ht="48.75" customHeight="1" x14ac:dyDescent="0.3">
      <c r="A69" s="48">
        <v>70</v>
      </c>
      <c r="C69" s="1" t="s">
        <v>38</v>
      </c>
      <c r="H69" s="75">
        <f>6000-2000</f>
        <v>4000</v>
      </c>
      <c r="I69" s="75">
        <v>4000</v>
      </c>
      <c r="J69" s="40">
        <f t="shared" si="33"/>
        <v>0</v>
      </c>
      <c r="K69" s="6">
        <f t="shared" si="34"/>
        <v>0</v>
      </c>
      <c r="M69" s="75">
        <v>3169.76</v>
      </c>
      <c r="N69" s="75">
        <v>3333.3</v>
      </c>
      <c r="O69" s="6">
        <f t="shared" si="35"/>
        <v>-4.9062490624906238E-2</v>
      </c>
      <c r="P69" s="87" t="s">
        <v>204</v>
      </c>
      <c r="Q69" s="68" t="s">
        <v>146</v>
      </c>
    </row>
    <row r="70" spans="1:17" ht="62.25" customHeight="1" x14ac:dyDescent="0.3">
      <c r="A70" s="48">
        <v>73</v>
      </c>
      <c r="C70" s="1" t="s">
        <v>39</v>
      </c>
      <c r="H70" s="77">
        <v>16000</v>
      </c>
      <c r="I70" s="75">
        <v>22000</v>
      </c>
      <c r="J70" s="40">
        <f t="shared" si="33"/>
        <v>-6000</v>
      </c>
      <c r="K70" s="6">
        <f t="shared" si="34"/>
        <v>-0.27272727272727271</v>
      </c>
      <c r="M70" s="75">
        <v>11892.89</v>
      </c>
      <c r="N70" s="75">
        <v>18333.3</v>
      </c>
      <c r="O70" s="6">
        <f t="shared" si="35"/>
        <v>-0.35129572962859934</v>
      </c>
      <c r="P70" s="87" t="s">
        <v>232</v>
      </c>
      <c r="Q70" s="68" t="s">
        <v>158</v>
      </c>
    </row>
    <row r="71" spans="1:17" x14ac:dyDescent="0.3">
      <c r="A71" s="48">
        <v>74</v>
      </c>
      <c r="C71" s="1" t="s">
        <v>40</v>
      </c>
      <c r="H71" s="75">
        <f t="shared" ref="H71:H72" si="36">+I71</f>
        <v>700</v>
      </c>
      <c r="I71" s="75">
        <v>700</v>
      </c>
      <c r="J71" s="40">
        <f t="shared" si="33"/>
        <v>0</v>
      </c>
      <c r="K71" s="6">
        <f t="shared" si="34"/>
        <v>0</v>
      </c>
      <c r="M71" s="75">
        <v>639.65</v>
      </c>
      <c r="N71" s="75">
        <v>583.29999999999995</v>
      </c>
      <c r="O71" s="6">
        <f t="shared" si="35"/>
        <v>9.6605520315446641E-2</v>
      </c>
      <c r="P71" s="84"/>
      <c r="Q71" s="68"/>
    </row>
    <row r="72" spans="1:17" ht="28.8" x14ac:dyDescent="0.3">
      <c r="A72" s="48">
        <v>75</v>
      </c>
      <c r="C72" s="1" t="s">
        <v>41</v>
      </c>
      <c r="H72" s="77">
        <f t="shared" si="36"/>
        <v>1600</v>
      </c>
      <c r="I72" s="75">
        <v>1600</v>
      </c>
      <c r="J72" s="40">
        <f t="shared" si="33"/>
        <v>0</v>
      </c>
      <c r="K72" s="6">
        <f t="shared" si="34"/>
        <v>0</v>
      </c>
      <c r="M72" s="75">
        <v>1199.6500000000001</v>
      </c>
      <c r="N72" s="75">
        <v>1333.3</v>
      </c>
      <c r="O72" s="6">
        <f t="shared" si="35"/>
        <v>-0.1002400060001499</v>
      </c>
      <c r="P72" s="87" t="s">
        <v>222</v>
      </c>
      <c r="Q72" s="68" t="s">
        <v>147</v>
      </c>
    </row>
    <row r="73" spans="1:17" s="4" customFormat="1" x14ac:dyDescent="0.3">
      <c r="A73" s="48">
        <v>76</v>
      </c>
      <c r="B73" s="22" t="s">
        <v>43</v>
      </c>
      <c r="C73" s="22"/>
      <c r="D73" s="22"/>
      <c r="E73" s="39"/>
      <c r="F73" s="39"/>
      <c r="G73" s="39"/>
      <c r="H73" s="22">
        <f>SUM(H68:H72)</f>
        <v>27000</v>
      </c>
      <c r="I73" s="39">
        <f>SUM(I68:I72)</f>
        <v>33300</v>
      </c>
      <c r="J73" s="39">
        <f>SUM(J68:J72)</f>
        <v>-6300</v>
      </c>
      <c r="K73" s="23">
        <f t="shared" si="34"/>
        <v>-0.1891891891891892</v>
      </c>
      <c r="M73" s="39">
        <f>SUM(M68:M72)</f>
        <v>20348.570000000003</v>
      </c>
      <c r="N73" s="39">
        <f>SUM(N68:N72)</f>
        <v>27749.899999999998</v>
      </c>
      <c r="O73" s="23">
        <f t="shared" si="35"/>
        <v>-0.26671555573173217</v>
      </c>
      <c r="P73" s="86"/>
      <c r="Q73" s="67"/>
    </row>
    <row r="74" spans="1:17" x14ac:dyDescent="0.3">
      <c r="A74" s="48">
        <v>77</v>
      </c>
      <c r="B74" s="22" t="s">
        <v>100</v>
      </c>
      <c r="C74" s="25"/>
      <c r="D74" s="25"/>
      <c r="E74" s="25"/>
      <c r="F74" s="25"/>
      <c r="G74" s="25"/>
      <c r="H74" s="22">
        <f>+H40+H47+H49+H56+H65+H73+H54</f>
        <v>67400</v>
      </c>
      <c r="I74" s="39">
        <f>+I40+I47+I49+I56+I65+I73+I54</f>
        <v>68931</v>
      </c>
      <c r="J74" s="39">
        <f>+J40+J47+J49+J56+J65+J73+J54</f>
        <v>-1531</v>
      </c>
      <c r="K74" s="23">
        <f t="shared" si="34"/>
        <v>-2.2210616413514964E-2</v>
      </c>
      <c r="M74" s="39">
        <f>+M40+M47+M49+M56+M65+M73+M54</f>
        <v>45851.530000000006</v>
      </c>
      <c r="N74" s="39">
        <f>+N40+N47+N49+N56+N65+N73+N54</f>
        <v>57742.5</v>
      </c>
      <c r="O74" s="23">
        <f t="shared" si="35"/>
        <v>-0.2059309867082304</v>
      </c>
      <c r="P74" s="84"/>
      <c r="Q74" s="66"/>
    </row>
    <row r="75" spans="1:17" ht="8.25" customHeight="1" x14ac:dyDescent="0.3">
      <c r="A75" s="48">
        <v>78</v>
      </c>
      <c r="K75" s="7"/>
      <c r="P75" s="84"/>
      <c r="Q75" s="66"/>
    </row>
    <row r="76" spans="1:17" ht="18" x14ac:dyDescent="0.3">
      <c r="A76" s="48">
        <v>79</v>
      </c>
      <c r="B76" s="9" t="s">
        <v>42</v>
      </c>
      <c r="G76" s="112" t="s">
        <v>114</v>
      </c>
      <c r="K76" s="7"/>
      <c r="P76" s="84"/>
      <c r="Q76" s="66"/>
    </row>
    <row r="77" spans="1:17" x14ac:dyDescent="0.3">
      <c r="A77" s="48">
        <v>80</v>
      </c>
      <c r="B77" s="4" t="s">
        <v>168</v>
      </c>
      <c r="G77" s="112"/>
      <c r="H77" s="37"/>
      <c r="J77" s="37"/>
      <c r="K77" s="7"/>
      <c r="M77" s="37"/>
      <c r="N77" s="37"/>
      <c r="P77" s="83"/>
      <c r="Q77" s="66" t="s">
        <v>124</v>
      </c>
    </row>
    <row r="78" spans="1:17" ht="28.8" x14ac:dyDescent="0.3">
      <c r="A78" s="48">
        <v>81</v>
      </c>
      <c r="C78" s="1" t="s">
        <v>44</v>
      </c>
      <c r="G78" s="63">
        <f>ROUND(+$I78*(1+$E$113),0)</f>
        <v>73976</v>
      </c>
      <c r="H78" s="77">
        <f>+(65375.31)/2</f>
        <v>32687.654999999999</v>
      </c>
      <c r="I78" s="75">
        <v>72525</v>
      </c>
      <c r="J78" s="40">
        <f t="shared" ref="J78:J84" si="37">+H78-I78</f>
        <v>-39837.345000000001</v>
      </c>
      <c r="K78" s="6">
        <f t="shared" ref="K78:K85" si="38">IF(I78=0,"NA",(+H78-I78)/I78)</f>
        <v>-0.54929120992761116</v>
      </c>
      <c r="M78" s="75">
        <f>41882.36+25000</f>
        <v>66882.36</v>
      </c>
      <c r="N78" s="75">
        <f>35437.6+25000</f>
        <v>60437.599999999999</v>
      </c>
      <c r="O78" s="6">
        <f t="shared" ref="O78:O85" si="39">IF(N78=0,"NA",(+M78-N78)/N78)</f>
        <v>0.10663494248613449</v>
      </c>
      <c r="P78" s="87" t="s">
        <v>223</v>
      </c>
      <c r="Q78" s="66" t="s">
        <v>142</v>
      </c>
    </row>
    <row r="79" spans="1:17" x14ac:dyDescent="0.3">
      <c r="A79" s="48">
        <v>82</v>
      </c>
      <c r="C79" s="1" t="s">
        <v>45</v>
      </c>
      <c r="G79" s="63"/>
      <c r="H79" s="77">
        <f>+(1000)</f>
        <v>1000</v>
      </c>
      <c r="I79" s="75">
        <v>2000</v>
      </c>
      <c r="J79" s="40">
        <f t="shared" si="37"/>
        <v>-1000</v>
      </c>
      <c r="K79" s="6">
        <f t="shared" si="38"/>
        <v>-0.5</v>
      </c>
      <c r="M79" s="75">
        <v>770.86</v>
      </c>
      <c r="N79" s="75">
        <v>1666.7</v>
      </c>
      <c r="O79" s="6">
        <f t="shared" si="39"/>
        <v>-0.53749325013499727</v>
      </c>
      <c r="P79" s="87"/>
      <c r="Q79" s="66" t="s">
        <v>143</v>
      </c>
    </row>
    <row r="80" spans="1:17" x14ac:dyDescent="0.3">
      <c r="C80" s="1" t="s">
        <v>130</v>
      </c>
      <c r="G80" s="63"/>
      <c r="H80" s="77">
        <v>0</v>
      </c>
      <c r="I80" s="75">
        <v>11048.16</v>
      </c>
      <c r="J80" s="40">
        <f t="shared" si="37"/>
        <v>-11048.16</v>
      </c>
      <c r="K80" s="6">
        <f t="shared" ref="K80" si="40">IF(I80=0,"NA",(+H80-I80)/I80)</f>
        <v>-1</v>
      </c>
      <c r="M80" s="75">
        <v>2762.04</v>
      </c>
      <c r="N80" s="75">
        <v>9206.7000000000007</v>
      </c>
      <c r="O80" s="6">
        <f t="shared" ref="O80" si="41">IF(N80=0,"NA",(+M80-N80)/N80)</f>
        <v>-0.69999674150347035</v>
      </c>
      <c r="P80" s="87"/>
      <c r="Q80" s="38" t="s">
        <v>142</v>
      </c>
    </row>
    <row r="81" spans="1:17" ht="57.6" customHeight="1" x14ac:dyDescent="0.3">
      <c r="A81" s="48">
        <v>83</v>
      </c>
      <c r="C81" s="1" t="s">
        <v>46</v>
      </c>
      <c r="E81" s="79"/>
      <c r="G81" s="100"/>
      <c r="H81" s="77">
        <f>(+H78*(0.1+0.351+0.03+0.003+0.007))</f>
        <v>16049.638604999998</v>
      </c>
      <c r="I81" s="75">
        <v>26772.720000000001</v>
      </c>
      <c r="J81" s="40">
        <f t="shared" si="37"/>
        <v>-10723.081395000003</v>
      </c>
      <c r="K81" s="6">
        <f t="shared" si="38"/>
        <v>-0.40052267363943606</v>
      </c>
      <c r="M81" s="75">
        <v>22420.3</v>
      </c>
      <c r="N81" s="75">
        <v>22310.799999999999</v>
      </c>
      <c r="O81" s="6">
        <f t="shared" si="39"/>
        <v>4.9079369632644282E-3</v>
      </c>
      <c r="P81" s="91" t="s">
        <v>242</v>
      </c>
      <c r="Q81" s="66" t="s">
        <v>169</v>
      </c>
    </row>
    <row r="82" spans="1:17" ht="43.2" x14ac:dyDescent="0.3">
      <c r="A82" s="48">
        <v>84</v>
      </c>
      <c r="C82" s="1" t="s">
        <v>47</v>
      </c>
      <c r="G82" s="100"/>
      <c r="H82" s="77">
        <v>0</v>
      </c>
      <c r="I82" s="75">
        <v>0</v>
      </c>
      <c r="J82" s="40">
        <f t="shared" si="37"/>
        <v>0</v>
      </c>
      <c r="K82" s="6" t="str">
        <f t="shared" si="38"/>
        <v>NA</v>
      </c>
      <c r="M82" s="75">
        <v>0</v>
      </c>
      <c r="N82" s="75">
        <v>0</v>
      </c>
      <c r="O82" s="6" t="str">
        <f t="shared" si="39"/>
        <v>NA</v>
      </c>
      <c r="P82" s="87"/>
      <c r="Q82" s="66" t="s">
        <v>170</v>
      </c>
    </row>
    <row r="83" spans="1:17" x14ac:dyDescent="0.3">
      <c r="C83" s="1" t="s">
        <v>144</v>
      </c>
      <c r="G83" s="100"/>
      <c r="H83" s="77">
        <f>+(600)</f>
        <v>600</v>
      </c>
      <c r="I83" s="75">
        <v>1200</v>
      </c>
      <c r="J83" s="40">
        <f t="shared" si="37"/>
        <v>-600</v>
      </c>
      <c r="K83" s="6">
        <f t="shared" ref="K83" si="42">IF(I83=0,"NA",(+H83-I83)/I83)</f>
        <v>-0.5</v>
      </c>
      <c r="M83" s="75">
        <v>728.08</v>
      </c>
      <c r="N83" s="75">
        <v>1000</v>
      </c>
      <c r="O83" s="6">
        <f t="shared" ref="O83" si="43">IF(N83=0,"NA",(+M83-N83)/N83)</f>
        <v>-0.27191999999999994</v>
      </c>
      <c r="P83" s="87"/>
      <c r="Q83" s="66" t="s">
        <v>142</v>
      </c>
    </row>
    <row r="84" spans="1:17" x14ac:dyDescent="0.3">
      <c r="A84" s="48">
        <v>85</v>
      </c>
      <c r="C84" s="1" t="s">
        <v>48</v>
      </c>
      <c r="G84" s="63"/>
      <c r="H84" s="77">
        <f>+(600)</f>
        <v>600</v>
      </c>
      <c r="I84" s="75">
        <v>1200</v>
      </c>
      <c r="J84" s="40">
        <f t="shared" si="37"/>
        <v>-600</v>
      </c>
      <c r="K84" s="6">
        <f t="shared" si="38"/>
        <v>-0.5</v>
      </c>
      <c r="M84" s="75">
        <v>974.84</v>
      </c>
      <c r="N84" s="75">
        <v>1000</v>
      </c>
      <c r="O84" s="6">
        <f t="shared" si="39"/>
        <v>-2.5159999999999967E-2</v>
      </c>
      <c r="P84" s="87"/>
      <c r="Q84" s="66" t="s">
        <v>178</v>
      </c>
    </row>
    <row r="85" spans="1:17" s="4" customFormat="1" x14ac:dyDescent="0.3">
      <c r="A85" s="48">
        <v>86</v>
      </c>
      <c r="B85" s="26" t="s">
        <v>122</v>
      </c>
      <c r="C85" s="26"/>
      <c r="D85" s="26"/>
      <c r="E85" s="26"/>
      <c r="F85" s="26"/>
      <c r="G85" s="26"/>
      <c r="H85" s="26">
        <f>SUM(H78:H84)</f>
        <v>50937.293604999999</v>
      </c>
      <c r="I85" s="26">
        <f>SUM(I78:I84)</f>
        <v>114745.88</v>
      </c>
      <c r="J85" s="26">
        <f>SUM(J78:J84)</f>
        <v>-63808.586395000006</v>
      </c>
      <c r="K85" s="27">
        <f t="shared" si="38"/>
        <v>-0.55608607816681521</v>
      </c>
      <c r="M85" s="26">
        <f>SUM(M78:M84)</f>
        <v>94538.48</v>
      </c>
      <c r="N85" s="26">
        <f>SUM(N78:N84)</f>
        <v>95621.8</v>
      </c>
      <c r="O85" s="27">
        <f t="shared" si="39"/>
        <v>-1.1329215722774587E-2</v>
      </c>
      <c r="P85" s="86"/>
      <c r="Q85" s="66"/>
    </row>
    <row r="86" spans="1:17" ht="6.75" customHeight="1" x14ac:dyDescent="0.3">
      <c r="A86" s="48">
        <v>87</v>
      </c>
      <c r="K86" s="7"/>
      <c r="P86" s="84"/>
      <c r="Q86" s="67"/>
    </row>
    <row r="87" spans="1:17" x14ac:dyDescent="0.3">
      <c r="A87" s="48">
        <v>88</v>
      </c>
      <c r="B87" s="4" t="s">
        <v>159</v>
      </c>
      <c r="K87" s="7"/>
      <c r="P87" s="84"/>
      <c r="Q87" s="66"/>
    </row>
    <row r="88" spans="1:17" x14ac:dyDescent="0.3">
      <c r="A88" s="48">
        <v>89</v>
      </c>
      <c r="C88" s="1" t="s">
        <v>49</v>
      </c>
      <c r="F88" s="56"/>
      <c r="G88" s="63">
        <f>ROUND(+$I88*(1+$E$113),0)</f>
        <v>15300</v>
      </c>
      <c r="H88" s="75">
        <v>15000</v>
      </c>
      <c r="I88" s="75">
        <v>15000</v>
      </c>
      <c r="J88" s="40">
        <f t="shared" ref="J88:J89" si="44">+H88-I88</f>
        <v>0</v>
      </c>
      <c r="K88" s="6">
        <f t="shared" ref="K88:K90" si="45">IF(I88=0,"NA",(+H88-I88)/I88)</f>
        <v>0</v>
      </c>
      <c r="M88" s="75">
        <v>12500</v>
      </c>
      <c r="N88" s="75">
        <v>12500</v>
      </c>
      <c r="O88" s="6">
        <f>IF(N88=0,"NA",(+M88-N88)/N88)</f>
        <v>0</v>
      </c>
      <c r="P88" s="83" t="s">
        <v>224</v>
      </c>
      <c r="Q88" s="66"/>
    </row>
    <row r="89" spans="1:17" x14ac:dyDescent="0.3">
      <c r="A89" s="48">
        <v>90</v>
      </c>
      <c r="C89" s="1" t="s">
        <v>50</v>
      </c>
      <c r="H89" s="75">
        <v>0</v>
      </c>
      <c r="I89" s="75">
        <v>200</v>
      </c>
      <c r="J89" s="40">
        <f t="shared" si="44"/>
        <v>-200</v>
      </c>
      <c r="K89" s="6">
        <f t="shared" si="45"/>
        <v>-1</v>
      </c>
      <c r="M89" s="75">
        <v>0</v>
      </c>
      <c r="N89" s="75">
        <v>166.7</v>
      </c>
      <c r="O89" s="6">
        <f>IF(N89=0,"NA",(+M89-N89)/N89)</f>
        <v>-1</v>
      </c>
      <c r="P89" s="84"/>
      <c r="Q89" s="66"/>
    </row>
    <row r="90" spans="1:17" s="4" customFormat="1" x14ac:dyDescent="0.3">
      <c r="A90" s="48">
        <v>91</v>
      </c>
      <c r="B90" s="26" t="s">
        <v>180</v>
      </c>
      <c r="C90" s="26"/>
      <c r="D90" s="26"/>
      <c r="E90" s="26"/>
      <c r="F90" s="26"/>
      <c r="G90" s="26"/>
      <c r="H90" s="26">
        <f>SUM(H88:H89)</f>
        <v>15000</v>
      </c>
      <c r="I90" s="26">
        <f>SUM(I88:I89)</f>
        <v>15200</v>
      </c>
      <c r="J90" s="26">
        <f>SUM(J88:J89)</f>
        <v>-200</v>
      </c>
      <c r="K90" s="27">
        <f t="shared" si="45"/>
        <v>-1.3157894736842105E-2</v>
      </c>
      <c r="M90" s="26">
        <f>SUM(M88:M89)</f>
        <v>12500</v>
      </c>
      <c r="N90" s="26">
        <f>SUM(N88:N89)</f>
        <v>12666.7</v>
      </c>
      <c r="O90" s="27">
        <f>IF(N90=0,"NA",(+M90-N90)/N90)</f>
        <v>-1.3160491682916681E-2</v>
      </c>
      <c r="P90" s="86"/>
      <c r="Q90" s="66"/>
    </row>
    <row r="91" spans="1:17" ht="4.5" customHeight="1" x14ac:dyDescent="0.3">
      <c r="A91" s="48">
        <v>92</v>
      </c>
      <c r="K91" s="7"/>
      <c r="P91" s="84"/>
      <c r="Q91" s="67"/>
    </row>
    <row r="92" spans="1:17" x14ac:dyDescent="0.3">
      <c r="A92" s="48">
        <v>88</v>
      </c>
      <c r="B92" s="4" t="s">
        <v>179</v>
      </c>
      <c r="K92" s="42"/>
      <c r="O92" s="42"/>
      <c r="P92" s="84"/>
      <c r="Q92" s="66"/>
    </row>
    <row r="93" spans="1:17" ht="43.2" x14ac:dyDescent="0.3">
      <c r="A93" s="48">
        <v>89</v>
      </c>
      <c r="C93" s="1" t="s">
        <v>49</v>
      </c>
      <c r="F93" s="56"/>
      <c r="G93" s="63">
        <f>ROUND(+$I93*(1+$E$113),0)</f>
        <v>0</v>
      </c>
      <c r="H93" s="77">
        <f>+(200*13)+(400*6)</f>
        <v>5000</v>
      </c>
      <c r="I93" s="75">
        <v>0</v>
      </c>
      <c r="J93" s="40">
        <f t="shared" ref="J93:J94" si="46">+H93-I93</f>
        <v>5000</v>
      </c>
      <c r="K93" s="6" t="str">
        <f t="shared" ref="K93:K95" si="47">IF(I93=0,"NA",(+H93-I93)/I93)</f>
        <v>NA</v>
      </c>
      <c r="M93" s="75">
        <v>0</v>
      </c>
      <c r="N93" s="75">
        <v>0</v>
      </c>
      <c r="O93" s="6" t="str">
        <f>IF(N93=0,"NA",(+M93-N93)/N93)</f>
        <v>NA</v>
      </c>
      <c r="P93" s="83" t="s">
        <v>233</v>
      </c>
      <c r="Q93" s="66"/>
    </row>
    <row r="94" spans="1:17" x14ac:dyDescent="0.3">
      <c r="A94" s="48">
        <v>90</v>
      </c>
      <c r="C94" s="1" t="s">
        <v>50</v>
      </c>
      <c r="H94" s="75">
        <v>0</v>
      </c>
      <c r="I94" s="75">
        <v>0</v>
      </c>
      <c r="J94" s="40">
        <f t="shared" si="46"/>
        <v>0</v>
      </c>
      <c r="K94" s="6" t="str">
        <f t="shared" si="47"/>
        <v>NA</v>
      </c>
      <c r="M94" s="75">
        <v>0</v>
      </c>
      <c r="N94" s="75">
        <v>0</v>
      </c>
      <c r="O94" s="6" t="str">
        <f>IF(N94=0,"NA",(+M94-N94)/N94)</f>
        <v>NA</v>
      </c>
      <c r="P94" s="84"/>
      <c r="Q94" s="66"/>
    </row>
    <row r="95" spans="1:17" s="4" customFormat="1" x14ac:dyDescent="0.3">
      <c r="A95" s="48">
        <v>91</v>
      </c>
      <c r="B95" s="26" t="s">
        <v>51</v>
      </c>
      <c r="C95" s="26"/>
      <c r="D95" s="26"/>
      <c r="E95" s="26"/>
      <c r="F95" s="26"/>
      <c r="G95" s="26"/>
      <c r="H95" s="26">
        <f>SUM(H93:H94)</f>
        <v>5000</v>
      </c>
      <c r="I95" s="26">
        <f>SUM(I93:I94)</f>
        <v>0</v>
      </c>
      <c r="J95" s="26">
        <f>SUM(J93:J94)</f>
        <v>5000</v>
      </c>
      <c r="K95" s="27" t="str">
        <f t="shared" si="47"/>
        <v>NA</v>
      </c>
      <c r="M95" s="26">
        <f>SUM(M93:M94)</f>
        <v>0</v>
      </c>
      <c r="N95" s="26">
        <f>SUM(N93:N94)</f>
        <v>0</v>
      </c>
      <c r="O95" s="27" t="str">
        <f>IF(N95=0,"NA",(+M95-N95)/N95)</f>
        <v>NA</v>
      </c>
      <c r="P95" s="86"/>
      <c r="Q95" s="66"/>
    </row>
    <row r="96" spans="1:17" ht="4.5" customHeight="1" x14ac:dyDescent="0.3">
      <c r="K96" s="42"/>
      <c r="O96" s="42"/>
      <c r="P96" s="84"/>
      <c r="Q96" s="67"/>
    </row>
    <row r="97" spans="1:17" x14ac:dyDescent="0.3">
      <c r="A97" s="48">
        <v>93</v>
      </c>
      <c r="B97" s="4" t="s">
        <v>205</v>
      </c>
      <c r="K97" s="7"/>
      <c r="P97" s="84"/>
      <c r="Q97" s="66"/>
    </row>
    <row r="98" spans="1:17" ht="28.8" x14ac:dyDescent="0.3">
      <c r="A98" s="48">
        <v>94</v>
      </c>
      <c r="C98" s="1" t="s">
        <v>49</v>
      </c>
      <c r="E98" s="57"/>
      <c r="F98" s="45"/>
      <c r="G98" s="63">
        <f>ROUND(+$I98*(1+$E$113),0)</f>
        <v>14924</v>
      </c>
      <c r="H98" s="75">
        <v>20000</v>
      </c>
      <c r="I98" s="75">
        <v>14631</v>
      </c>
      <c r="J98" s="40">
        <f t="shared" ref="J98:J99" si="48">+H98-I98</f>
        <v>5369</v>
      </c>
      <c r="K98" s="6">
        <f t="shared" ref="K98:K100" si="49">IF(I98=0,"NA",(+H98-I98)/I98)</f>
        <v>0.36696056318775205</v>
      </c>
      <c r="M98" s="75">
        <v>12192.6</v>
      </c>
      <c r="N98" s="75">
        <v>12192.5</v>
      </c>
      <c r="O98" s="6">
        <f>IF(N98=0,"NA",(+M98-N98)/N98)</f>
        <v>8.2017633791563506E-6</v>
      </c>
      <c r="P98" s="83" t="s">
        <v>207</v>
      </c>
      <c r="Q98" s="66" t="s">
        <v>132</v>
      </c>
    </row>
    <row r="99" spans="1:17" ht="43.2" x14ac:dyDescent="0.3">
      <c r="A99" s="48">
        <v>95</v>
      </c>
      <c r="C99" s="1" t="s">
        <v>52</v>
      </c>
      <c r="E99" s="1" t="s">
        <v>161</v>
      </c>
      <c r="H99" s="75">
        <f>10*4*40</f>
        <v>1600</v>
      </c>
      <c r="I99" s="75">
        <v>1000</v>
      </c>
      <c r="J99" s="40">
        <f t="shared" si="48"/>
        <v>600</v>
      </c>
      <c r="K99" s="6">
        <f t="shared" si="49"/>
        <v>0.6</v>
      </c>
      <c r="M99" s="75">
        <v>922.51</v>
      </c>
      <c r="N99" s="75">
        <v>833.3</v>
      </c>
      <c r="O99" s="6">
        <f>IF(N99=0,"NA",(+M99-N99)/N99)</f>
        <v>0.1070562822512901</v>
      </c>
      <c r="P99" s="1" t="s">
        <v>208</v>
      </c>
      <c r="Q99" s="66" t="s">
        <v>160</v>
      </c>
    </row>
    <row r="100" spans="1:17" s="4" customFormat="1" x14ac:dyDescent="0.3">
      <c r="A100" s="48">
        <v>96</v>
      </c>
      <c r="B100" s="26" t="s">
        <v>53</v>
      </c>
      <c r="C100" s="26"/>
      <c r="D100" s="26"/>
      <c r="E100" s="26"/>
      <c r="F100" s="26"/>
      <c r="G100" s="26"/>
      <c r="H100" s="26">
        <f>SUM(H98:H99)</f>
        <v>21600</v>
      </c>
      <c r="I100" s="26">
        <f>SUM(I98:I99)</f>
        <v>15631</v>
      </c>
      <c r="J100" s="26">
        <f>SUM(J98:J99)</f>
        <v>5969</v>
      </c>
      <c r="K100" s="27">
        <f t="shared" si="49"/>
        <v>0.38186936216492867</v>
      </c>
      <c r="M100" s="26">
        <f>SUM(M98:M99)</f>
        <v>13115.11</v>
      </c>
      <c r="N100" s="26">
        <f>SUM(N98:N99)</f>
        <v>13025.8</v>
      </c>
      <c r="O100" s="27">
        <f>IF(N100=0,"NA",(+M100-N100)/N100)</f>
        <v>6.8563926975695397E-3</v>
      </c>
      <c r="P100" s="86"/>
      <c r="Q100" s="66"/>
    </row>
    <row r="101" spans="1:17" ht="6" customHeight="1" x14ac:dyDescent="0.3">
      <c r="A101" s="48">
        <v>97</v>
      </c>
      <c r="K101" s="7"/>
      <c r="P101" s="84"/>
      <c r="Q101" s="67"/>
    </row>
    <row r="102" spans="1:17" x14ac:dyDescent="0.3">
      <c r="A102" s="48">
        <v>98</v>
      </c>
      <c r="B102" s="4" t="s">
        <v>197</v>
      </c>
      <c r="K102" s="7"/>
      <c r="P102" s="84"/>
      <c r="Q102" s="66"/>
    </row>
    <row r="103" spans="1:17" ht="28.8" x14ac:dyDescent="0.3">
      <c r="A103" s="48">
        <v>99</v>
      </c>
      <c r="C103" s="1" t="s">
        <v>49</v>
      </c>
      <c r="G103" s="40"/>
      <c r="H103" s="77">
        <f>+(86349/2)+(38239/2)</f>
        <v>62294</v>
      </c>
      <c r="I103" s="75">
        <v>38239</v>
      </c>
      <c r="J103" s="40">
        <f t="shared" ref="J103:J109" si="50">+H103-I103</f>
        <v>24055</v>
      </c>
      <c r="K103" s="6">
        <f t="shared" ref="K103:K110" si="51">IF(I103=0,"NA",(+H103-I103)/I103)</f>
        <v>0.62906979785036221</v>
      </c>
      <c r="M103" s="75">
        <v>31865.81</v>
      </c>
      <c r="N103" s="75">
        <v>31865.8</v>
      </c>
      <c r="O103" s="6">
        <f t="shared" ref="O103:O110" si="52">IF(N103=0,"NA",(+M103-N103)/N103)</f>
        <v>3.1381606619125423E-7</v>
      </c>
      <c r="P103" s="83" t="s">
        <v>234</v>
      </c>
      <c r="Q103" s="66" t="s">
        <v>132</v>
      </c>
    </row>
    <row r="104" spans="1:17" ht="57.6" x14ac:dyDescent="0.3">
      <c r="A104" s="48">
        <v>100</v>
      </c>
      <c r="C104" s="1" t="s">
        <v>46</v>
      </c>
      <c r="H104" s="77">
        <f>+H103*0.11</f>
        <v>6852.34</v>
      </c>
      <c r="I104" s="75">
        <v>5754.38</v>
      </c>
      <c r="J104" s="40">
        <f t="shared" si="50"/>
        <v>1097.96</v>
      </c>
      <c r="K104" s="6">
        <f t="shared" si="51"/>
        <v>0.19080422217510837</v>
      </c>
      <c r="M104" s="75">
        <v>4922.32</v>
      </c>
      <c r="N104" s="75">
        <v>4795</v>
      </c>
      <c r="O104" s="6">
        <f t="shared" si="52"/>
        <v>2.6552659019812245E-2</v>
      </c>
      <c r="P104" s="91"/>
      <c r="Q104" s="66" t="s">
        <v>171</v>
      </c>
    </row>
    <row r="105" spans="1:17" x14ac:dyDescent="0.3">
      <c r="A105" s="48">
        <v>101</v>
      </c>
      <c r="C105" s="1" t="s">
        <v>48</v>
      </c>
      <c r="H105" s="75">
        <v>750</v>
      </c>
      <c r="I105" s="75">
        <v>750</v>
      </c>
      <c r="J105" s="40">
        <f t="shared" si="50"/>
        <v>0</v>
      </c>
      <c r="K105" s="6">
        <f t="shared" si="51"/>
        <v>0</v>
      </c>
      <c r="M105" s="75">
        <v>745.64</v>
      </c>
      <c r="N105" s="75">
        <v>625</v>
      </c>
      <c r="O105" s="6">
        <f t="shared" si="52"/>
        <v>0.19302399999999997</v>
      </c>
      <c r="P105" s="83"/>
      <c r="Q105" s="66" t="s">
        <v>127</v>
      </c>
    </row>
    <row r="106" spans="1:17" ht="43.2" x14ac:dyDescent="0.3">
      <c r="A106" s="48">
        <v>102</v>
      </c>
      <c r="C106" s="1" t="s">
        <v>47</v>
      </c>
      <c r="H106" s="77">
        <f>+(3298/2)</f>
        <v>1649</v>
      </c>
      <c r="I106" s="75">
        <v>3298</v>
      </c>
      <c r="J106" s="40">
        <f t="shared" si="50"/>
        <v>-1649</v>
      </c>
      <c r="K106" s="6">
        <f t="shared" si="51"/>
        <v>-0.5</v>
      </c>
      <c r="M106" s="75">
        <v>2286.36</v>
      </c>
      <c r="N106" s="75">
        <v>2748.3</v>
      </c>
      <c r="O106" s="6">
        <f t="shared" si="52"/>
        <v>-0.16808208710839428</v>
      </c>
      <c r="P106" s="87" t="s">
        <v>225</v>
      </c>
      <c r="Q106" s="66" t="s">
        <v>172</v>
      </c>
    </row>
    <row r="107" spans="1:17" x14ac:dyDescent="0.3">
      <c r="A107" s="48">
        <v>103</v>
      </c>
      <c r="C107" s="1" t="s">
        <v>50</v>
      </c>
      <c r="H107" s="75">
        <v>2000</v>
      </c>
      <c r="I107" s="75">
        <v>2000</v>
      </c>
      <c r="J107" s="40">
        <f t="shared" si="50"/>
        <v>0</v>
      </c>
      <c r="K107" s="6">
        <f t="shared" si="51"/>
        <v>0</v>
      </c>
      <c r="M107" s="75">
        <v>1703.16</v>
      </c>
      <c r="N107" s="75">
        <v>1666.7</v>
      </c>
      <c r="O107" s="6">
        <f t="shared" si="52"/>
        <v>2.1875562488750246E-2</v>
      </c>
      <c r="P107" s="83"/>
      <c r="Q107" s="66" t="s">
        <v>135</v>
      </c>
    </row>
    <row r="108" spans="1:17" x14ac:dyDescent="0.3">
      <c r="C108" s="1" t="s">
        <v>144</v>
      </c>
      <c r="H108" s="75">
        <f>+(300)+(200)</f>
        <v>500</v>
      </c>
      <c r="I108" s="75">
        <v>400</v>
      </c>
      <c r="J108" s="40">
        <f t="shared" ref="J108" si="53">+H108-I108</f>
        <v>100</v>
      </c>
      <c r="K108" s="6">
        <f t="shared" ref="K108" si="54">IF(I108=0,"NA",(+H108-I108)/I108)</f>
        <v>0.25</v>
      </c>
      <c r="M108" s="75">
        <v>341.49</v>
      </c>
      <c r="N108" s="75">
        <v>333.3</v>
      </c>
      <c r="O108" s="6">
        <f t="shared" ref="O108" si="55">IF(N108=0,"NA",(+M108-N108)/N108)</f>
        <v>2.4572457245724565E-2</v>
      </c>
      <c r="P108" s="83"/>
      <c r="Q108" s="66"/>
    </row>
    <row r="109" spans="1:17" x14ac:dyDescent="0.3">
      <c r="A109" s="48">
        <v>104</v>
      </c>
      <c r="C109" s="1" t="s">
        <v>54</v>
      </c>
      <c r="H109" s="75">
        <v>0</v>
      </c>
      <c r="I109" s="75">
        <v>0</v>
      </c>
      <c r="J109" s="40">
        <f t="shared" si="50"/>
        <v>0</v>
      </c>
      <c r="K109" s="6" t="str">
        <f t="shared" si="51"/>
        <v>NA</v>
      </c>
      <c r="M109" s="75">
        <v>0</v>
      </c>
      <c r="N109" s="75">
        <v>0</v>
      </c>
      <c r="O109" s="6" t="str">
        <f t="shared" si="52"/>
        <v>NA</v>
      </c>
      <c r="P109" s="96" t="s">
        <v>226</v>
      </c>
      <c r="Q109" s="66"/>
    </row>
    <row r="110" spans="1:17" s="4" customFormat="1" x14ac:dyDescent="0.3">
      <c r="A110" s="48">
        <v>105</v>
      </c>
      <c r="B110" s="26" t="s">
        <v>256</v>
      </c>
      <c r="C110" s="26"/>
      <c r="D110" s="26"/>
      <c r="E110" s="26"/>
      <c r="F110" s="26"/>
      <c r="G110" s="26"/>
      <c r="H110" s="26">
        <f>SUM(H103:H109)</f>
        <v>74045.34</v>
      </c>
      <c r="I110" s="26">
        <f>SUM(I103:I109)</f>
        <v>50441.38</v>
      </c>
      <c r="J110" s="26">
        <f>SUM(J103:J109)</f>
        <v>23603.96</v>
      </c>
      <c r="K110" s="27">
        <f t="shared" si="51"/>
        <v>0.46794833924052037</v>
      </c>
      <c r="M110" s="26">
        <f>SUM(M103:M109)</f>
        <v>41864.780000000006</v>
      </c>
      <c r="N110" s="26">
        <f>SUM(N103:N109)</f>
        <v>42034.100000000006</v>
      </c>
      <c r="O110" s="27">
        <f t="shared" si="52"/>
        <v>-4.0281580906930247E-3</v>
      </c>
      <c r="P110" s="86"/>
      <c r="Q110" s="66"/>
    </row>
    <row r="111" spans="1:17" ht="6" customHeight="1" x14ac:dyDescent="0.3">
      <c r="A111" s="48">
        <v>106</v>
      </c>
      <c r="K111" s="7"/>
      <c r="P111" s="84"/>
      <c r="Q111" s="67"/>
    </row>
    <row r="112" spans="1:17" x14ac:dyDescent="0.3">
      <c r="A112" s="48">
        <v>107</v>
      </c>
      <c r="B112" s="4" t="s">
        <v>55</v>
      </c>
      <c r="K112" s="7"/>
      <c r="P112" s="84"/>
      <c r="Q112" s="66"/>
    </row>
    <row r="113" spans="1:18" x14ac:dyDescent="0.3">
      <c r="A113" s="48">
        <v>108</v>
      </c>
      <c r="C113" s="1" t="s">
        <v>163</v>
      </c>
      <c r="E113" s="62">
        <v>0.02</v>
      </c>
      <c r="F113" s="61" t="s">
        <v>120</v>
      </c>
      <c r="G113" s="63"/>
      <c r="H113" s="40">
        <f>+I113*(1+$E$114)</f>
        <v>15300</v>
      </c>
      <c r="I113" s="75">
        <v>15000</v>
      </c>
      <c r="J113" s="40">
        <f t="shared" ref="J113:J119" si="56">+H113-I113</f>
        <v>300</v>
      </c>
      <c r="K113" s="6">
        <f t="shared" ref="K113:K120" si="57">IF(I113=0,"NA",(+H113-I113)/I113)</f>
        <v>0.02</v>
      </c>
      <c r="M113" s="75">
        <v>12433.34</v>
      </c>
      <c r="N113" s="75">
        <v>12500</v>
      </c>
      <c r="O113" s="6">
        <f t="shared" ref="O113:O120" si="58">IF(N113=0,"NA",(+M113-N113)/N113)</f>
        <v>-5.3327999999999882E-3</v>
      </c>
      <c r="P113" s="83" t="s">
        <v>246</v>
      </c>
      <c r="Q113" s="66" t="s">
        <v>162</v>
      </c>
    </row>
    <row r="114" spans="1:18" x14ac:dyDescent="0.3">
      <c r="A114" s="48">
        <v>109</v>
      </c>
      <c r="C114" s="1" t="s">
        <v>56</v>
      </c>
      <c r="E114" s="62">
        <v>0.02</v>
      </c>
      <c r="F114" s="61" t="s">
        <v>121</v>
      </c>
      <c r="G114" s="63"/>
      <c r="H114" s="75">
        <v>500</v>
      </c>
      <c r="I114" s="75">
        <v>500</v>
      </c>
      <c r="J114" s="40">
        <f t="shared" si="56"/>
        <v>0</v>
      </c>
      <c r="K114" s="6">
        <f t="shared" si="57"/>
        <v>0</v>
      </c>
      <c r="M114" s="75">
        <v>0</v>
      </c>
      <c r="N114" s="75">
        <v>416.7</v>
      </c>
      <c r="O114" s="6">
        <f t="shared" si="58"/>
        <v>-1</v>
      </c>
      <c r="P114" s="83" t="s">
        <v>249</v>
      </c>
      <c r="Q114" s="66" t="s">
        <v>127</v>
      </c>
    </row>
    <row r="115" spans="1:18" ht="28.8" x14ac:dyDescent="0.3">
      <c r="A115" s="48">
        <v>110</v>
      </c>
      <c r="C115" s="1" t="s">
        <v>57</v>
      </c>
      <c r="G115" s="63"/>
      <c r="H115" s="75">
        <f>+I115*1.05</f>
        <v>20023.5</v>
      </c>
      <c r="I115" s="75">
        <v>19070</v>
      </c>
      <c r="J115" s="40">
        <f t="shared" si="56"/>
        <v>953.5</v>
      </c>
      <c r="K115" s="6">
        <f t="shared" si="57"/>
        <v>0.05</v>
      </c>
      <c r="M115" s="75">
        <v>15770.6</v>
      </c>
      <c r="N115" s="75">
        <v>15891.7</v>
      </c>
      <c r="O115" s="6">
        <f t="shared" si="58"/>
        <v>-7.6203301094282146E-3</v>
      </c>
      <c r="P115" s="83" t="s">
        <v>248</v>
      </c>
      <c r="Q115" s="66" t="s">
        <v>145</v>
      </c>
    </row>
    <row r="116" spans="1:18" x14ac:dyDescent="0.3">
      <c r="A116" s="48">
        <v>111</v>
      </c>
      <c r="C116" s="1" t="s">
        <v>58</v>
      </c>
      <c r="G116" s="63"/>
      <c r="H116" s="40">
        <f>+I116*(1+$E$114)</f>
        <v>7193.04</v>
      </c>
      <c r="I116" s="75">
        <v>7052</v>
      </c>
      <c r="J116" s="40">
        <f t="shared" si="56"/>
        <v>141.03999999999996</v>
      </c>
      <c r="K116" s="6">
        <f t="shared" si="57"/>
        <v>1.9999999999999993E-2</v>
      </c>
      <c r="M116" s="75">
        <v>5641.6</v>
      </c>
      <c r="N116" s="75">
        <v>5876.7</v>
      </c>
      <c r="O116" s="6">
        <f t="shared" si="58"/>
        <v>-4.0005445232868697E-2</v>
      </c>
      <c r="P116" s="83" t="s">
        <v>247</v>
      </c>
      <c r="Q116" s="66" t="s">
        <v>132</v>
      </c>
    </row>
    <row r="117" spans="1:18" x14ac:dyDescent="0.3">
      <c r="A117" s="48">
        <v>112</v>
      </c>
      <c r="C117" s="1" t="s">
        <v>59</v>
      </c>
      <c r="G117" s="63">
        <f>ROUND(+$I117*(1+$E$114),0)</f>
        <v>1785</v>
      </c>
      <c r="H117" s="77">
        <v>1750</v>
      </c>
      <c r="I117" s="75">
        <v>1750</v>
      </c>
      <c r="J117" s="40">
        <f t="shared" si="56"/>
        <v>0</v>
      </c>
      <c r="K117" s="6">
        <f t="shared" si="57"/>
        <v>0</v>
      </c>
      <c r="M117" s="75">
        <v>1458.3</v>
      </c>
      <c r="N117" s="75">
        <v>1458.3</v>
      </c>
      <c r="O117" s="6">
        <f t="shared" si="58"/>
        <v>0</v>
      </c>
      <c r="P117" s="83" t="s">
        <v>249</v>
      </c>
      <c r="Q117" s="66" t="s">
        <v>136</v>
      </c>
    </row>
    <row r="118" spans="1:18" x14ac:dyDescent="0.3">
      <c r="C118" s="1" t="s">
        <v>133</v>
      </c>
      <c r="H118" s="77">
        <v>1200</v>
      </c>
      <c r="I118" s="75">
        <v>1200</v>
      </c>
      <c r="J118" s="40">
        <f t="shared" si="56"/>
        <v>0</v>
      </c>
      <c r="K118" s="6">
        <f t="shared" ref="K118" si="59">IF(I118=0,"NA",(+H118-I118)/I118)</f>
        <v>0</v>
      </c>
      <c r="M118" s="95">
        <v>0</v>
      </c>
      <c r="N118" s="75">
        <v>1000</v>
      </c>
      <c r="O118" s="6">
        <f t="shared" ref="O118" si="60">IF(N118=0,"NA",(+M118-N118)/N118)</f>
        <v>-1</v>
      </c>
      <c r="P118" s="101" t="s">
        <v>245</v>
      </c>
      <c r="Q118" s="38" t="s">
        <v>137</v>
      </c>
    </row>
    <row r="119" spans="1:18" ht="57.6" x14ac:dyDescent="0.3">
      <c r="A119" s="48">
        <v>113</v>
      </c>
      <c r="C119" s="1" t="s">
        <v>174</v>
      </c>
      <c r="H119" s="40">
        <f>+I119*(1+$E$114)</f>
        <v>2652</v>
      </c>
      <c r="I119" s="75">
        <v>2600</v>
      </c>
      <c r="J119" s="40">
        <f t="shared" si="56"/>
        <v>52</v>
      </c>
      <c r="K119" s="6">
        <f t="shared" si="57"/>
        <v>0.02</v>
      </c>
      <c r="M119" s="75">
        <v>2000</v>
      </c>
      <c r="N119" s="75">
        <v>2000</v>
      </c>
      <c r="O119" s="6">
        <f t="shared" si="58"/>
        <v>0</v>
      </c>
      <c r="P119" s="83" t="s">
        <v>249</v>
      </c>
      <c r="Q119" s="66" t="s">
        <v>165</v>
      </c>
    </row>
    <row r="120" spans="1:18" s="4" customFormat="1" x14ac:dyDescent="0.3">
      <c r="A120" s="48">
        <v>114</v>
      </c>
      <c r="B120" s="26" t="s">
        <v>60</v>
      </c>
      <c r="C120" s="26"/>
      <c r="D120" s="26"/>
      <c r="E120" s="26"/>
      <c r="F120" s="26"/>
      <c r="G120" s="26"/>
      <c r="H120" s="26">
        <f>SUM(H113:H119)</f>
        <v>48618.54</v>
      </c>
      <c r="I120" s="26">
        <f>SUM(I113:I119)</f>
        <v>47172</v>
      </c>
      <c r="J120" s="26">
        <f>SUM(J113:J119)</f>
        <v>1446.54</v>
      </c>
      <c r="K120" s="27">
        <f t="shared" si="57"/>
        <v>3.0665225133553822E-2</v>
      </c>
      <c r="M120" s="26">
        <f>SUM(M113:M119)</f>
        <v>37303.840000000004</v>
      </c>
      <c r="N120" s="26">
        <f>SUM(N113:N119)</f>
        <v>39143.4</v>
      </c>
      <c r="O120" s="27">
        <f t="shared" si="58"/>
        <v>-4.6995406633046632E-2</v>
      </c>
      <c r="P120" s="86"/>
      <c r="Q120" s="66"/>
    </row>
    <row r="121" spans="1:18" ht="6.75" customHeight="1" x14ac:dyDescent="0.3">
      <c r="A121" s="48">
        <v>115</v>
      </c>
      <c r="K121" s="7"/>
      <c r="P121" s="84"/>
      <c r="Q121" s="68"/>
    </row>
    <row r="122" spans="1:18" ht="14.25" customHeight="1" x14ac:dyDescent="0.3">
      <c r="A122" s="48">
        <v>116</v>
      </c>
      <c r="B122" s="4" t="s">
        <v>61</v>
      </c>
      <c r="G122" s="28"/>
      <c r="H122" s="28"/>
      <c r="I122" s="28"/>
      <c r="J122" s="28"/>
      <c r="K122" s="7"/>
      <c r="P122" s="84"/>
      <c r="Q122" s="67"/>
      <c r="R122" s="42"/>
    </row>
    <row r="123" spans="1:18" ht="43.2" x14ac:dyDescent="0.3">
      <c r="A123" s="48">
        <v>117</v>
      </c>
      <c r="C123" s="1" t="s">
        <v>109</v>
      </c>
      <c r="F123" s="64"/>
      <c r="G123" s="63"/>
      <c r="H123" s="102">
        <f>ROUND(19*52*(14.42*1.02),2)</f>
        <v>14531.9</v>
      </c>
      <c r="I123" s="75">
        <v>12747.28</v>
      </c>
      <c r="J123" s="40">
        <f t="shared" ref="J123:J131" si="61">+H123-I123</f>
        <v>1784.619999999999</v>
      </c>
      <c r="K123" s="6">
        <f t="shared" ref="K123:K133" si="62">IF(I123=0,"NA",(+H123-I123)/I123)</f>
        <v>0.14000006275848642</v>
      </c>
      <c r="M123" s="75">
        <v>11114.72</v>
      </c>
      <c r="N123" s="75">
        <v>10785.76</v>
      </c>
      <c r="O123" s="6">
        <f t="shared" ref="O123:O133" si="63">IF(N123=0,"NA",(+M123-N123)/N123)</f>
        <v>3.0499473379715394E-2</v>
      </c>
      <c r="P123" s="94" t="s">
        <v>235</v>
      </c>
      <c r="Q123" s="66" t="s">
        <v>166</v>
      </c>
      <c r="R123" s="57"/>
    </row>
    <row r="124" spans="1:18" ht="43.2" x14ac:dyDescent="0.3">
      <c r="A124" s="48">
        <v>118</v>
      </c>
      <c r="C124" s="1" t="s">
        <v>63</v>
      </c>
      <c r="G124" s="63"/>
      <c r="H124" s="102">
        <f>+(12.85*15*52)+(11.25*7.5*52)+(10.9*17*52)</f>
        <v>24046.1</v>
      </c>
      <c r="I124" s="75">
        <v>33323</v>
      </c>
      <c r="J124" s="40">
        <f t="shared" si="61"/>
        <v>-9276.9000000000015</v>
      </c>
      <c r="K124" s="6">
        <f t="shared" si="62"/>
        <v>-0.27839330192359635</v>
      </c>
      <c r="M124" s="75">
        <v>19985.28</v>
      </c>
      <c r="N124" s="75">
        <v>28196.3</v>
      </c>
      <c r="O124" s="6">
        <f t="shared" si="63"/>
        <v>-0.29120913027595824</v>
      </c>
      <c r="P124" s="83" t="s">
        <v>211</v>
      </c>
      <c r="Q124" s="66" t="s">
        <v>132</v>
      </c>
    </row>
    <row r="125" spans="1:18" x14ac:dyDescent="0.3">
      <c r="A125" s="48">
        <v>119</v>
      </c>
      <c r="C125" s="1" t="s">
        <v>64</v>
      </c>
      <c r="H125" s="77">
        <v>400</v>
      </c>
      <c r="I125" s="75">
        <v>400</v>
      </c>
      <c r="J125" s="40">
        <f t="shared" si="61"/>
        <v>0</v>
      </c>
      <c r="K125" s="6">
        <f t="shared" si="62"/>
        <v>0</v>
      </c>
      <c r="M125" s="75">
        <v>132</v>
      </c>
      <c r="N125" s="75">
        <v>333.3</v>
      </c>
      <c r="O125" s="6">
        <f t="shared" si="63"/>
        <v>-0.60396039603960394</v>
      </c>
      <c r="P125" s="87"/>
      <c r="Q125" s="68" t="s">
        <v>183</v>
      </c>
    </row>
    <row r="126" spans="1:18" x14ac:dyDescent="0.3">
      <c r="A126" s="48">
        <v>120</v>
      </c>
      <c r="C126" s="1" t="s">
        <v>115</v>
      </c>
      <c r="H126" s="77">
        <f>700</f>
        <v>700</v>
      </c>
      <c r="I126" s="75">
        <v>700</v>
      </c>
      <c r="J126" s="40">
        <f t="shared" si="61"/>
        <v>0</v>
      </c>
      <c r="K126" s="6">
        <f t="shared" si="62"/>
        <v>0</v>
      </c>
      <c r="M126" s="75">
        <v>0</v>
      </c>
      <c r="N126" s="75">
        <v>583.29999999999995</v>
      </c>
      <c r="O126" s="6">
        <f t="shared" si="63"/>
        <v>-1</v>
      </c>
      <c r="P126" s="87"/>
      <c r="Q126" s="66" t="s">
        <v>164</v>
      </c>
    </row>
    <row r="127" spans="1:18" ht="43.2" x14ac:dyDescent="0.3">
      <c r="C127" s="1" t="s">
        <v>198</v>
      </c>
      <c r="F127" s="97"/>
      <c r="G127" s="99"/>
      <c r="H127" s="77">
        <v>1200</v>
      </c>
      <c r="I127" s="75">
        <v>1500</v>
      </c>
      <c r="J127" s="40">
        <f t="shared" si="61"/>
        <v>-300</v>
      </c>
      <c r="K127" s="6">
        <f t="shared" ref="K127" si="64">IF(I127=0,"NA",(+H127-I127)/I127)</f>
        <v>-0.2</v>
      </c>
      <c r="M127" s="75">
        <v>667</v>
      </c>
      <c r="N127" s="75">
        <v>1000</v>
      </c>
      <c r="O127" s="6">
        <f t="shared" ref="O127" si="65">IF(N127=0,"NA",(+M127-N127)/N127)</f>
        <v>-0.33300000000000002</v>
      </c>
      <c r="P127" s="83" t="s">
        <v>227</v>
      </c>
      <c r="Q127" s="66" t="s">
        <v>186</v>
      </c>
    </row>
    <row r="128" spans="1:18" ht="43.2" x14ac:dyDescent="0.3">
      <c r="A128" s="48">
        <v>122</v>
      </c>
      <c r="C128" s="1" t="s">
        <v>99</v>
      </c>
      <c r="F128" s="59"/>
      <c r="G128" s="40"/>
      <c r="H128" s="102">
        <f>ROUND((30*52*14)*(1),0)</f>
        <v>21840</v>
      </c>
      <c r="I128" s="75">
        <v>18907</v>
      </c>
      <c r="J128" s="40">
        <f t="shared" si="61"/>
        <v>2933</v>
      </c>
      <c r="K128" s="6">
        <f t="shared" si="62"/>
        <v>0.15512773047019623</v>
      </c>
      <c r="M128" s="75">
        <v>15952.34</v>
      </c>
      <c r="N128" s="75">
        <v>15998.18</v>
      </c>
      <c r="O128" s="6">
        <f t="shared" si="63"/>
        <v>-2.8653259308246402E-3</v>
      </c>
      <c r="P128" s="87" t="s">
        <v>209</v>
      </c>
      <c r="Q128" s="68" t="s">
        <v>176</v>
      </c>
      <c r="R128" s="57"/>
    </row>
    <row r="129" spans="1:17" ht="43.2" x14ac:dyDescent="0.3">
      <c r="A129" s="48">
        <v>123</v>
      </c>
      <c r="C129" s="1" t="s">
        <v>65</v>
      </c>
      <c r="G129" s="57"/>
      <c r="H129" s="77">
        <v>14229</v>
      </c>
      <c r="I129" s="77">
        <f>12550-382.5</f>
        <v>12167.5</v>
      </c>
      <c r="J129" s="40">
        <f t="shared" si="61"/>
        <v>2061.5</v>
      </c>
      <c r="K129" s="6">
        <f t="shared" si="62"/>
        <v>0.16942675159235668</v>
      </c>
      <c r="M129" s="77">
        <v>9508.11</v>
      </c>
      <c r="N129" s="77">
        <v>10140</v>
      </c>
      <c r="O129" s="6">
        <f t="shared" si="63"/>
        <v>-6.231656804733722E-2</v>
      </c>
      <c r="P129" s="87" t="s">
        <v>228</v>
      </c>
      <c r="Q129" s="66" t="s">
        <v>188</v>
      </c>
    </row>
    <row r="130" spans="1:17" ht="57.6" x14ac:dyDescent="0.3">
      <c r="A130" s="48">
        <v>124</v>
      </c>
      <c r="C130" s="1" t="s">
        <v>66</v>
      </c>
      <c r="H130" s="77">
        <v>2994</v>
      </c>
      <c r="I130" s="75">
        <v>3431</v>
      </c>
      <c r="J130" s="40">
        <f t="shared" si="61"/>
        <v>-437</v>
      </c>
      <c r="K130" s="6">
        <f t="shared" si="62"/>
        <v>-0.12736811425240455</v>
      </c>
      <c r="M130" s="77">
        <v>2882.83</v>
      </c>
      <c r="N130" s="77">
        <v>2859.2</v>
      </c>
      <c r="O130" s="6">
        <f t="shared" si="63"/>
        <v>8.2645495243425116E-3</v>
      </c>
      <c r="P130" s="87" t="s">
        <v>229</v>
      </c>
      <c r="Q130" s="66" t="s">
        <v>175</v>
      </c>
    </row>
    <row r="131" spans="1:17" x14ac:dyDescent="0.3">
      <c r="A131" s="48">
        <v>125</v>
      </c>
      <c r="C131" s="1" t="s">
        <v>67</v>
      </c>
      <c r="H131" s="77">
        <v>0</v>
      </c>
      <c r="I131" s="75">
        <v>0</v>
      </c>
      <c r="J131" s="40">
        <f t="shared" si="61"/>
        <v>0</v>
      </c>
      <c r="K131" s="6" t="str">
        <f t="shared" si="62"/>
        <v>NA</v>
      </c>
      <c r="M131" s="77">
        <v>0</v>
      </c>
      <c r="N131" s="77">
        <v>0</v>
      </c>
      <c r="O131" s="6" t="str">
        <f t="shared" si="63"/>
        <v>NA</v>
      </c>
      <c r="P131" s="83"/>
      <c r="Q131" s="66" t="s">
        <v>138</v>
      </c>
    </row>
    <row r="132" spans="1:17" s="4" customFormat="1" x14ac:dyDescent="0.3">
      <c r="A132" s="48">
        <v>127</v>
      </c>
      <c r="B132" s="26" t="s">
        <v>62</v>
      </c>
      <c r="C132" s="26"/>
      <c r="D132" s="26"/>
      <c r="E132" s="26"/>
      <c r="F132" s="26"/>
      <c r="G132" s="26"/>
      <c r="H132" s="26">
        <f>SUM(H123:H131)</f>
        <v>79941</v>
      </c>
      <c r="I132" s="26">
        <f>SUM(I123:I131)</f>
        <v>83175.78</v>
      </c>
      <c r="J132" s="26">
        <f>SUM(J123:J131)</f>
        <v>-3234.7800000000025</v>
      </c>
      <c r="K132" s="27">
        <f t="shared" si="62"/>
        <v>-3.889088866975457E-2</v>
      </c>
      <c r="M132" s="26">
        <f>SUM(M123:M131)</f>
        <v>60242.28</v>
      </c>
      <c r="N132" s="26">
        <f>SUM(N123:N131)</f>
        <v>69896.039999999994</v>
      </c>
      <c r="O132" s="27">
        <f t="shared" si="63"/>
        <v>-0.13811597910267873</v>
      </c>
      <c r="P132" s="86"/>
      <c r="Q132" s="68"/>
    </row>
    <row r="133" spans="1:17" x14ac:dyDescent="0.3">
      <c r="A133" s="48">
        <v>128</v>
      </c>
      <c r="B133" s="26" t="s">
        <v>68</v>
      </c>
      <c r="C133" s="26"/>
      <c r="D133" s="36" t="str">
        <f>0*100%&amp;"% Cost of Living"</f>
        <v>0% Cost of Living</v>
      </c>
      <c r="E133" s="36"/>
      <c r="F133" s="36"/>
      <c r="G133" s="36"/>
      <c r="H133" s="26">
        <f>+H85+H90+H95+H100+H110+H120+H132</f>
        <v>295142.17360500002</v>
      </c>
      <c r="I133" s="26">
        <f>+I85+I90+I95+I100+I110+I120+I132</f>
        <v>326366.04000000004</v>
      </c>
      <c r="J133" s="26">
        <f>+J85+J90+J95+J100+J110+J120+J132</f>
        <v>-31223.866395000008</v>
      </c>
      <c r="K133" s="27">
        <f t="shared" si="62"/>
        <v>-9.5671309413810385E-2</v>
      </c>
      <c r="M133" s="26">
        <f>+M85+M90+M95+M100+M110+M120+M132</f>
        <v>259564.49</v>
      </c>
      <c r="N133" s="26">
        <f>+N85+N90+N95+N100+N110+N120+N132</f>
        <v>272387.84000000003</v>
      </c>
      <c r="O133" s="27">
        <f t="shared" si="63"/>
        <v>-4.707754208117379E-2</v>
      </c>
      <c r="P133" s="84"/>
      <c r="Q133" s="66"/>
    </row>
    <row r="134" spans="1:17" ht="8.25" customHeight="1" x14ac:dyDescent="0.3">
      <c r="A134" s="48">
        <v>129</v>
      </c>
      <c r="K134" s="7"/>
      <c r="P134" s="84"/>
      <c r="Q134" s="66"/>
    </row>
    <row r="135" spans="1:17" ht="18" x14ac:dyDescent="0.3">
      <c r="A135" s="48">
        <v>130</v>
      </c>
      <c r="B135" s="9" t="s">
        <v>69</v>
      </c>
      <c r="K135" s="7"/>
      <c r="P135" s="84"/>
      <c r="Q135" s="67"/>
    </row>
    <row r="136" spans="1:17" x14ac:dyDescent="0.3">
      <c r="A136" s="48">
        <v>131</v>
      </c>
      <c r="B136" s="4" t="s">
        <v>70</v>
      </c>
      <c r="K136" s="7"/>
      <c r="P136" s="84"/>
      <c r="Q136" s="66"/>
    </row>
    <row r="137" spans="1:17" x14ac:dyDescent="0.3">
      <c r="A137" s="48">
        <v>132</v>
      </c>
      <c r="C137" s="1" t="s">
        <v>72</v>
      </c>
      <c r="H137" s="77">
        <v>9000</v>
      </c>
      <c r="I137" s="75">
        <v>17000</v>
      </c>
      <c r="J137" s="40">
        <f t="shared" ref="J137:J143" si="66">+H137-I137</f>
        <v>-8000</v>
      </c>
      <c r="K137" s="6">
        <f t="shared" ref="K137:K144" si="67">IF(I137=0,"NA",(+H137-I137)/I137)</f>
        <v>-0.47058823529411764</v>
      </c>
      <c r="M137" s="75">
        <v>9735.0300000000007</v>
      </c>
      <c r="N137" s="75">
        <v>14408.32</v>
      </c>
      <c r="O137" s="6">
        <f t="shared" ref="O137:O144" si="68">IF(N137=0,"NA",(+M137-N137)/N137)</f>
        <v>-0.3243466275041087</v>
      </c>
      <c r="P137" s="83" t="s">
        <v>230</v>
      </c>
      <c r="Q137" s="66" t="s">
        <v>127</v>
      </c>
    </row>
    <row r="138" spans="1:17" ht="28.8" x14ac:dyDescent="0.3">
      <c r="A138" s="48">
        <v>133</v>
      </c>
      <c r="C138" s="1" t="s">
        <v>73</v>
      </c>
      <c r="H138" s="77">
        <v>12000</v>
      </c>
      <c r="I138" s="75">
        <v>16000</v>
      </c>
      <c r="J138" s="40">
        <f t="shared" si="66"/>
        <v>-4000</v>
      </c>
      <c r="K138" s="6">
        <f t="shared" si="67"/>
        <v>-0.25</v>
      </c>
      <c r="M138" s="75">
        <v>6101.64</v>
      </c>
      <c r="N138" s="75">
        <v>13333.3</v>
      </c>
      <c r="O138" s="6">
        <f t="shared" si="68"/>
        <v>-0.54237585593963977</v>
      </c>
      <c r="P138" s="91" t="s">
        <v>236</v>
      </c>
      <c r="Q138" s="66" t="s">
        <v>139</v>
      </c>
    </row>
    <row r="139" spans="1:17" x14ac:dyDescent="0.3">
      <c r="A139" s="48">
        <v>134</v>
      </c>
      <c r="C139" s="1" t="s">
        <v>74</v>
      </c>
      <c r="G139" s="5"/>
      <c r="H139" s="75">
        <v>5976</v>
      </c>
      <c r="I139" s="75">
        <v>5976</v>
      </c>
      <c r="J139" s="40">
        <f t="shared" si="66"/>
        <v>0</v>
      </c>
      <c r="K139" s="6">
        <f t="shared" si="67"/>
        <v>0</v>
      </c>
      <c r="M139" s="75">
        <v>5396.37</v>
      </c>
      <c r="N139" s="75">
        <v>4980</v>
      </c>
      <c r="O139" s="6">
        <f t="shared" si="68"/>
        <v>8.3608433734939744E-2</v>
      </c>
      <c r="P139" s="90"/>
      <c r="Q139" s="66" t="s">
        <v>140</v>
      </c>
    </row>
    <row r="140" spans="1:17" x14ac:dyDescent="0.3">
      <c r="A140" s="48">
        <v>135</v>
      </c>
      <c r="C140" s="1" t="s">
        <v>75</v>
      </c>
      <c r="H140" s="75">
        <v>800</v>
      </c>
      <c r="I140" s="75">
        <v>800</v>
      </c>
      <c r="J140" s="40">
        <f t="shared" si="66"/>
        <v>0</v>
      </c>
      <c r="K140" s="6">
        <f t="shared" si="67"/>
        <v>0</v>
      </c>
      <c r="M140" s="75">
        <v>793.16</v>
      </c>
      <c r="N140" s="75">
        <v>600</v>
      </c>
      <c r="O140" s="6">
        <f t="shared" si="68"/>
        <v>0.32193333333333329</v>
      </c>
      <c r="P140" s="83"/>
      <c r="Q140" s="66" t="s">
        <v>127</v>
      </c>
    </row>
    <row r="141" spans="1:17" ht="63.75" customHeight="1" x14ac:dyDescent="0.3">
      <c r="A141" s="48">
        <v>136</v>
      </c>
      <c r="C141" s="1" t="s">
        <v>76</v>
      </c>
      <c r="H141" s="77">
        <v>350</v>
      </c>
      <c r="I141" s="75">
        <v>3300</v>
      </c>
      <c r="J141" s="40">
        <f t="shared" si="66"/>
        <v>-2950</v>
      </c>
      <c r="K141" s="6">
        <f t="shared" si="67"/>
        <v>-0.89393939393939392</v>
      </c>
      <c r="M141" s="75">
        <v>5156.6000000000004</v>
      </c>
      <c r="N141" s="75">
        <v>2750</v>
      </c>
      <c r="O141" s="6">
        <f t="shared" si="68"/>
        <v>0.87512727272727286</v>
      </c>
      <c r="P141" s="91" t="s">
        <v>237</v>
      </c>
      <c r="Q141" s="69" t="s">
        <v>148</v>
      </c>
    </row>
    <row r="142" spans="1:17" ht="66" customHeight="1" x14ac:dyDescent="0.3">
      <c r="A142" s="48">
        <v>137</v>
      </c>
      <c r="C142" s="1" t="s">
        <v>77</v>
      </c>
      <c r="F142" s="98"/>
      <c r="H142" s="77">
        <f>+(137*12)+(80*12)+150+46</f>
        <v>2800</v>
      </c>
      <c r="I142" s="75">
        <v>3300</v>
      </c>
      <c r="J142" s="40">
        <f t="shared" si="66"/>
        <v>-500</v>
      </c>
      <c r="K142" s="6">
        <f t="shared" si="67"/>
        <v>-0.15151515151515152</v>
      </c>
      <c r="M142" s="75">
        <v>2520.0300000000002</v>
      </c>
      <c r="N142" s="75">
        <v>2750</v>
      </c>
      <c r="O142" s="6">
        <f t="shared" si="68"/>
        <v>-8.3625454545454475E-2</v>
      </c>
      <c r="P142" s="87" t="s">
        <v>238</v>
      </c>
      <c r="Q142" s="69" t="s">
        <v>173</v>
      </c>
    </row>
    <row r="143" spans="1:17" x14ac:dyDescent="0.3">
      <c r="A143" s="48">
        <v>138</v>
      </c>
      <c r="C143" s="1" t="s">
        <v>123</v>
      </c>
      <c r="H143" s="75">
        <v>3900</v>
      </c>
      <c r="I143" s="75">
        <v>3900</v>
      </c>
      <c r="J143" s="40">
        <f t="shared" si="66"/>
        <v>0</v>
      </c>
      <c r="K143" s="6">
        <f t="shared" si="67"/>
        <v>0</v>
      </c>
      <c r="M143" s="75">
        <v>3918.59</v>
      </c>
      <c r="N143" s="75">
        <v>3900</v>
      </c>
      <c r="O143" s="6">
        <f t="shared" si="68"/>
        <v>4.7666666666667037E-3</v>
      </c>
      <c r="P143" s="83"/>
      <c r="Q143" s="66" t="s">
        <v>128</v>
      </c>
    </row>
    <row r="144" spans="1:17" s="4" customFormat="1" x14ac:dyDescent="0.3">
      <c r="A144" s="48">
        <v>139</v>
      </c>
      <c r="B144" s="29" t="s">
        <v>78</v>
      </c>
      <c r="C144" s="29"/>
      <c r="D144" s="29"/>
      <c r="E144" s="29"/>
      <c r="F144" s="29"/>
      <c r="G144" s="29"/>
      <c r="H144" s="29">
        <f>SUM(H137:H143)</f>
        <v>34826</v>
      </c>
      <c r="I144" s="29">
        <f>SUM(I137:I143)</f>
        <v>50276</v>
      </c>
      <c r="J144" s="29">
        <f>SUM(J137:J143)</f>
        <v>-15450</v>
      </c>
      <c r="K144" s="30">
        <f t="shared" si="67"/>
        <v>-0.30730368366616279</v>
      </c>
      <c r="M144" s="29">
        <f>SUM(M137:M143)</f>
        <v>33621.42</v>
      </c>
      <c r="N144" s="29">
        <f>SUM(N137:N143)</f>
        <v>42721.619999999995</v>
      </c>
      <c r="O144" s="30">
        <f t="shared" si="68"/>
        <v>-0.21301158523482952</v>
      </c>
      <c r="P144" s="86"/>
      <c r="Q144" s="69"/>
    </row>
    <row r="145" spans="1:17" s="4" customFormat="1" ht="6.75" customHeight="1" x14ac:dyDescent="0.3">
      <c r="A145" s="48">
        <v>140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20"/>
      <c r="M145" s="17"/>
      <c r="N145" s="17"/>
      <c r="O145" s="20"/>
      <c r="P145" s="86"/>
      <c r="Q145" s="66"/>
    </row>
    <row r="146" spans="1:17" x14ac:dyDescent="0.3">
      <c r="A146" s="48">
        <v>141</v>
      </c>
      <c r="B146" s="4" t="s">
        <v>79</v>
      </c>
      <c r="K146" s="7"/>
      <c r="P146" s="84"/>
      <c r="Q146" s="66"/>
    </row>
    <row r="147" spans="1:17" x14ac:dyDescent="0.3">
      <c r="A147" s="48">
        <v>142</v>
      </c>
      <c r="C147" s="1" t="s">
        <v>80</v>
      </c>
      <c r="H147" s="77">
        <v>15143</v>
      </c>
      <c r="I147" s="75">
        <v>14730</v>
      </c>
      <c r="J147" s="40">
        <f t="shared" ref="J147:J152" si="69">+H147-I147</f>
        <v>413</v>
      </c>
      <c r="K147" s="6">
        <f t="shared" ref="K147:K154" si="70">IF(I147=0,"NA",(+H147-I147)/I147)</f>
        <v>2.8038017651052273E-2</v>
      </c>
      <c r="M147" s="75">
        <v>14884.5</v>
      </c>
      <c r="N147" s="75">
        <v>14730</v>
      </c>
      <c r="O147" s="6">
        <f t="shared" ref="O147:O154" si="71">IF(N147=0,"NA",(+M147-N147)/N147)</f>
        <v>1.0488798370672098E-2</v>
      </c>
      <c r="P147" s="83" t="s">
        <v>239</v>
      </c>
      <c r="Q147" s="66" t="s">
        <v>127</v>
      </c>
    </row>
    <row r="148" spans="1:17" x14ac:dyDescent="0.3">
      <c r="A148" s="48">
        <v>143</v>
      </c>
      <c r="C148" s="1" t="s">
        <v>81</v>
      </c>
      <c r="H148" s="75">
        <v>5000</v>
      </c>
      <c r="I148" s="75">
        <v>5000</v>
      </c>
      <c r="J148" s="40">
        <f t="shared" si="69"/>
        <v>0</v>
      </c>
      <c r="K148" s="6">
        <f t="shared" si="70"/>
        <v>0</v>
      </c>
      <c r="M148" s="75">
        <v>3713.8</v>
      </c>
      <c r="N148" s="75">
        <v>3000</v>
      </c>
      <c r="O148" s="6">
        <f t="shared" si="71"/>
        <v>0.23793333333333339</v>
      </c>
      <c r="P148" s="83"/>
      <c r="Q148" s="66" t="s">
        <v>127</v>
      </c>
    </row>
    <row r="149" spans="1:17" x14ac:dyDescent="0.3">
      <c r="A149" s="48">
        <v>144</v>
      </c>
      <c r="C149" s="1" t="s">
        <v>113</v>
      </c>
      <c r="H149" s="75">
        <v>2500</v>
      </c>
      <c r="I149" s="75">
        <v>2500</v>
      </c>
      <c r="J149" s="40">
        <f t="shared" si="69"/>
        <v>0</v>
      </c>
      <c r="K149" s="6">
        <f t="shared" si="70"/>
        <v>0</v>
      </c>
      <c r="M149" s="75">
        <v>3609.88</v>
      </c>
      <c r="N149" s="75">
        <v>2083.3000000000002</v>
      </c>
      <c r="O149" s="6">
        <f t="shared" si="71"/>
        <v>0.73277012432198907</v>
      </c>
      <c r="P149" s="83"/>
      <c r="Q149" s="66" t="s">
        <v>127</v>
      </c>
    </row>
    <row r="150" spans="1:17" ht="28.8" x14ac:dyDescent="0.3">
      <c r="A150" s="48">
        <v>145</v>
      </c>
      <c r="C150" s="103" t="s">
        <v>117</v>
      </c>
      <c r="D150" s="103"/>
      <c r="E150" s="60"/>
      <c r="F150" s="58"/>
      <c r="G150" s="53"/>
      <c r="H150" s="75">
        <v>4300</v>
      </c>
      <c r="I150" s="75">
        <v>4300</v>
      </c>
      <c r="J150" s="40">
        <f t="shared" si="69"/>
        <v>0</v>
      </c>
      <c r="K150" s="6">
        <f t="shared" si="70"/>
        <v>0</v>
      </c>
      <c r="M150" s="75">
        <v>4060.88</v>
      </c>
      <c r="N150" s="75">
        <v>3583.3</v>
      </c>
      <c r="O150" s="6">
        <f t="shared" si="71"/>
        <v>0.13327937934306364</v>
      </c>
      <c r="P150" s="83"/>
      <c r="Q150" s="66" t="s">
        <v>129</v>
      </c>
    </row>
    <row r="151" spans="1:17" x14ac:dyDescent="0.3">
      <c r="A151" s="48">
        <v>146</v>
      </c>
      <c r="C151" s="1" t="s">
        <v>82</v>
      </c>
      <c r="H151" s="75">
        <v>6000</v>
      </c>
      <c r="I151" s="75">
        <v>6000</v>
      </c>
      <c r="J151" s="40">
        <f t="shared" si="69"/>
        <v>0</v>
      </c>
      <c r="K151" s="6">
        <f t="shared" si="70"/>
        <v>0</v>
      </c>
      <c r="M151" s="75">
        <v>4246.75</v>
      </c>
      <c r="N151" s="75">
        <v>5000</v>
      </c>
      <c r="O151" s="6">
        <f t="shared" si="71"/>
        <v>-0.15065000000000001</v>
      </c>
      <c r="P151" s="83"/>
      <c r="Q151" s="66" t="s">
        <v>127</v>
      </c>
    </row>
    <row r="152" spans="1:17" ht="28.8" x14ac:dyDescent="0.3">
      <c r="A152" s="48">
        <v>149</v>
      </c>
      <c r="C152" s="1" t="s">
        <v>83</v>
      </c>
      <c r="H152" s="75">
        <v>0</v>
      </c>
      <c r="I152" s="75">
        <v>1650</v>
      </c>
      <c r="J152" s="40">
        <f t="shared" si="69"/>
        <v>-1650</v>
      </c>
      <c r="K152" s="6">
        <f t="shared" si="70"/>
        <v>-1</v>
      </c>
      <c r="M152" s="75">
        <v>1223.0999999999999</v>
      </c>
      <c r="N152" s="75">
        <v>1375</v>
      </c>
      <c r="O152" s="6">
        <f t="shared" si="71"/>
        <v>-0.11047272727272733</v>
      </c>
      <c r="P152" s="87"/>
      <c r="Q152" s="66" t="s">
        <v>194</v>
      </c>
    </row>
    <row r="153" spans="1:17" s="4" customFormat="1" x14ac:dyDescent="0.3">
      <c r="A153" s="48">
        <v>150</v>
      </c>
      <c r="B153" s="29" t="s">
        <v>84</v>
      </c>
      <c r="C153" s="29"/>
      <c r="D153" s="29"/>
      <c r="E153" s="29"/>
      <c r="F153" s="29"/>
      <c r="G153" s="29"/>
      <c r="H153" s="29">
        <f>SUM(H147:H152)</f>
        <v>32943</v>
      </c>
      <c r="I153" s="29">
        <f>SUM(I147:I152)</f>
        <v>34180</v>
      </c>
      <c r="J153" s="29">
        <f>SUM(J147:J152)</f>
        <v>-1237</v>
      </c>
      <c r="K153" s="30">
        <f t="shared" si="70"/>
        <v>-3.6190754827384437E-2</v>
      </c>
      <c r="M153" s="29">
        <f>SUM(M147:M152)</f>
        <v>31738.91</v>
      </c>
      <c r="N153" s="29">
        <f>SUM(N147:N152)</f>
        <v>29771.599999999999</v>
      </c>
      <c r="O153" s="30">
        <f t="shared" si="71"/>
        <v>6.60800897499631E-2</v>
      </c>
      <c r="P153" s="86"/>
      <c r="Q153" s="66"/>
    </row>
    <row r="154" spans="1:17" x14ac:dyDescent="0.3">
      <c r="A154" s="48">
        <v>151</v>
      </c>
      <c r="B154" s="29" t="s">
        <v>85</v>
      </c>
      <c r="C154" s="29"/>
      <c r="D154" s="29"/>
      <c r="E154" s="29"/>
      <c r="F154" s="29"/>
      <c r="G154" s="29"/>
      <c r="H154" s="29">
        <f>+H144+H153</f>
        <v>67769</v>
      </c>
      <c r="I154" s="29">
        <f>+I144+I153</f>
        <v>84456</v>
      </c>
      <c r="J154" s="29">
        <f>+J144+J153</f>
        <v>-16687</v>
      </c>
      <c r="K154" s="30">
        <f t="shared" si="70"/>
        <v>-0.19758217296580469</v>
      </c>
      <c r="M154" s="29">
        <f>+M144+M153</f>
        <v>65360.33</v>
      </c>
      <c r="N154" s="29">
        <f>+N144+N153</f>
        <v>72493.22</v>
      </c>
      <c r="O154" s="30">
        <f t="shared" si="71"/>
        <v>-9.8393891180444171E-2</v>
      </c>
      <c r="P154" s="84"/>
      <c r="Q154" s="66"/>
    </row>
    <row r="155" spans="1:17" ht="4.5" customHeight="1" x14ac:dyDescent="0.3">
      <c r="A155" s="48">
        <v>152</v>
      </c>
      <c r="K155" s="7"/>
      <c r="P155" s="84"/>
      <c r="Q155" s="66"/>
    </row>
    <row r="156" spans="1:17" ht="18" x14ac:dyDescent="0.3">
      <c r="A156" s="48">
        <v>153</v>
      </c>
      <c r="B156" s="9" t="s">
        <v>86</v>
      </c>
      <c r="K156" s="7"/>
      <c r="P156" s="84"/>
      <c r="Q156" s="66"/>
    </row>
    <row r="157" spans="1:17" x14ac:dyDescent="0.3">
      <c r="A157" s="48">
        <v>154</v>
      </c>
      <c r="B157" s="4" t="s">
        <v>87</v>
      </c>
      <c r="K157" s="7"/>
      <c r="P157" s="84"/>
      <c r="Q157" s="66"/>
    </row>
    <row r="158" spans="1:17" x14ac:dyDescent="0.3">
      <c r="C158" s="1" t="s">
        <v>88</v>
      </c>
      <c r="H158" s="77">
        <f>13000-1839+78</f>
        <v>11239</v>
      </c>
      <c r="I158" s="75">
        <v>0</v>
      </c>
      <c r="J158" s="40">
        <f t="shared" ref="J158" si="72">+H158-I158</f>
        <v>11239</v>
      </c>
      <c r="K158" s="6" t="str">
        <f t="shared" ref="K158" si="73">IF(I158=0,"NA",(+H158-I158)/I158)</f>
        <v>NA</v>
      </c>
      <c r="M158" s="75">
        <v>0</v>
      </c>
      <c r="N158" s="75">
        <v>0</v>
      </c>
      <c r="O158" s="6" t="str">
        <f t="shared" ref="O158" si="74">IF(N158=0,"NA",(+M158-N158)/N158)</f>
        <v>NA</v>
      </c>
      <c r="P158" s="83"/>
      <c r="Q158" s="66"/>
    </row>
    <row r="159" spans="1:17" x14ac:dyDescent="0.3">
      <c r="A159" s="48">
        <v>156</v>
      </c>
      <c r="C159" s="1" t="s">
        <v>253</v>
      </c>
      <c r="H159" s="77">
        <f>25000</f>
        <v>25000</v>
      </c>
      <c r="I159" s="75">
        <v>5203</v>
      </c>
      <c r="J159" s="40">
        <f t="shared" ref="J159:J162" si="75">+H159-I159</f>
        <v>19797</v>
      </c>
      <c r="K159" s="6">
        <f t="shared" ref="K159:K163" si="76">IF(I159=0,"NA",(+H159-I159)/I159)</f>
        <v>3.8049202383240437</v>
      </c>
      <c r="M159" s="75">
        <v>0</v>
      </c>
      <c r="N159" s="75">
        <v>4335.8</v>
      </c>
      <c r="O159" s="6">
        <f t="shared" ref="O159:O163" si="77">IF(N159=0,"NA",(+M159-N159)/N159)</f>
        <v>-1</v>
      </c>
      <c r="P159" s="83"/>
      <c r="Q159" s="66" t="s">
        <v>141</v>
      </c>
    </row>
    <row r="160" spans="1:17" x14ac:dyDescent="0.3">
      <c r="C160" s="1" t="s">
        <v>251</v>
      </c>
      <c r="H160" s="77">
        <f>12000+2000+5000</f>
        <v>19000</v>
      </c>
      <c r="I160" s="75">
        <v>0</v>
      </c>
      <c r="J160" s="40">
        <f t="shared" si="75"/>
        <v>19000</v>
      </c>
      <c r="K160" s="6" t="str">
        <f t="shared" si="76"/>
        <v>NA</v>
      </c>
      <c r="M160" s="75">
        <v>0</v>
      </c>
      <c r="N160" s="75">
        <v>0</v>
      </c>
      <c r="O160" s="6" t="str">
        <f t="shared" si="77"/>
        <v>NA</v>
      </c>
      <c r="P160" s="83"/>
      <c r="Q160" s="66"/>
    </row>
    <row r="161" spans="1:17" x14ac:dyDescent="0.3">
      <c r="A161" s="48">
        <v>157</v>
      </c>
      <c r="C161" s="1" t="s">
        <v>89</v>
      </c>
      <c r="H161" s="77">
        <v>0</v>
      </c>
      <c r="I161" s="75">
        <v>0</v>
      </c>
      <c r="J161" s="40">
        <f t="shared" si="75"/>
        <v>0</v>
      </c>
      <c r="K161" s="6" t="str">
        <f t="shared" si="76"/>
        <v>NA</v>
      </c>
      <c r="M161" s="75">
        <v>280</v>
      </c>
      <c r="N161" s="75">
        <v>0</v>
      </c>
      <c r="O161" s="6" t="str">
        <f t="shared" si="77"/>
        <v>NA</v>
      </c>
      <c r="P161" s="84"/>
      <c r="Q161" s="66"/>
    </row>
    <row r="162" spans="1:17" ht="43.2" x14ac:dyDescent="0.3">
      <c r="A162" s="48">
        <v>158</v>
      </c>
      <c r="C162" s="1" t="s">
        <v>90</v>
      </c>
      <c r="H162" s="77">
        <v>0</v>
      </c>
      <c r="I162" s="75">
        <v>16980</v>
      </c>
      <c r="J162" s="40">
        <f t="shared" si="75"/>
        <v>-16980</v>
      </c>
      <c r="K162" s="6">
        <f t="shared" si="76"/>
        <v>-1</v>
      </c>
      <c r="M162" s="75">
        <v>0</v>
      </c>
      <c r="N162" s="75">
        <v>14150</v>
      </c>
      <c r="O162" s="6">
        <f t="shared" si="77"/>
        <v>-1</v>
      </c>
      <c r="P162" s="87" t="s">
        <v>231</v>
      </c>
      <c r="Q162" s="66" t="s">
        <v>195</v>
      </c>
    </row>
    <row r="163" spans="1:17" s="4" customFormat="1" x14ac:dyDescent="0.3">
      <c r="A163" s="48">
        <v>159</v>
      </c>
      <c r="B163" s="31" t="s">
        <v>91</v>
      </c>
      <c r="C163" s="31"/>
      <c r="D163" s="31"/>
      <c r="E163" s="31"/>
      <c r="F163" s="31"/>
      <c r="G163" s="31"/>
      <c r="H163" s="31">
        <f>SUM(H158:H162)</f>
        <v>55239</v>
      </c>
      <c r="I163" s="31">
        <f>SUM(I158:I162)</f>
        <v>22183</v>
      </c>
      <c r="J163" s="31">
        <f>SUM(J158:J162)</f>
        <v>33056</v>
      </c>
      <c r="K163" s="32">
        <f t="shared" si="76"/>
        <v>1.490150114952892</v>
      </c>
      <c r="M163" s="31">
        <f>SUM(M158:M162)</f>
        <v>280</v>
      </c>
      <c r="N163" s="31">
        <f>SUM(N158:N162)</f>
        <v>18485.8</v>
      </c>
      <c r="O163" s="32">
        <f t="shared" si="77"/>
        <v>-0.98485323870213892</v>
      </c>
      <c r="P163" s="86"/>
      <c r="Q163" s="66"/>
    </row>
    <row r="164" spans="1:17" ht="7.5" customHeight="1" x14ac:dyDescent="0.3">
      <c r="A164" s="48">
        <v>160</v>
      </c>
      <c r="K164" s="7"/>
      <c r="P164" s="84"/>
      <c r="Q164" s="66"/>
    </row>
    <row r="165" spans="1:17" x14ac:dyDescent="0.3">
      <c r="A165" s="48">
        <v>161</v>
      </c>
      <c r="B165" s="33" t="s">
        <v>92</v>
      </c>
      <c r="C165" s="34"/>
      <c r="D165" s="34"/>
      <c r="E165" s="34"/>
      <c r="F165" s="34"/>
      <c r="G165" s="34"/>
      <c r="H165" s="33">
        <f>+H74+H133+H154+H163+H29</f>
        <v>539500.17360500002</v>
      </c>
      <c r="I165" s="33">
        <f>+I74+I133+I154+I163+I29</f>
        <v>555637.04</v>
      </c>
      <c r="J165" s="33">
        <f>+J74+J133+J154+J163+J29</f>
        <v>-16136.866395000005</v>
      </c>
      <c r="K165" s="35">
        <f t="shared" ref="K165" si="78">IF(I165=0,"NA",(+H165-I165)/I165)</f>
        <v>-2.9042099848131109E-2</v>
      </c>
      <c r="M165" s="33">
        <f>+M74+M133+M154+M163+M29</f>
        <v>413989.65</v>
      </c>
      <c r="N165" s="33">
        <f>+N74+N133+N154+N163+N29</f>
        <v>464042.66000000003</v>
      </c>
      <c r="O165" s="35">
        <f>IF(N165=0,"NA",(+M165-N165)/N165)</f>
        <v>-0.10786294949692773</v>
      </c>
      <c r="P165" s="84"/>
      <c r="Q165" s="66"/>
    </row>
    <row r="166" spans="1:17" x14ac:dyDescent="0.3">
      <c r="A166" s="48">
        <v>162</v>
      </c>
      <c r="B166" s="33" t="s">
        <v>93</v>
      </c>
      <c r="C166" s="34"/>
      <c r="D166" s="34"/>
      <c r="E166" s="34"/>
      <c r="F166" s="34"/>
      <c r="G166" s="34"/>
      <c r="H166" s="33">
        <f>ROUND(+H21-H165,0)</f>
        <v>0</v>
      </c>
      <c r="I166" s="33">
        <f>ROUND(+I21-I165,0)</f>
        <v>0</v>
      </c>
      <c r="J166" s="33">
        <f>ROUND(+J21-J165,0)</f>
        <v>0</v>
      </c>
      <c r="K166" s="54"/>
      <c r="M166" s="33">
        <f>+M21-M165</f>
        <v>85220.69</v>
      </c>
      <c r="N166" s="33">
        <f>+N21-N165</f>
        <v>5988.109999999986</v>
      </c>
      <c r="O166" s="35">
        <f>IF(N166=0,"NA",(+M166-N166)/N166)</f>
        <v>13.23165072117917</v>
      </c>
      <c r="P166" s="84"/>
      <c r="Q166" s="67"/>
    </row>
    <row r="167" spans="1:17" x14ac:dyDescent="0.3">
      <c r="K167" s="7"/>
      <c r="P167" s="84"/>
      <c r="Q167" s="66"/>
    </row>
    <row r="168" spans="1:17" x14ac:dyDescent="0.3">
      <c r="K168" s="7"/>
      <c r="O168" s="6"/>
      <c r="P168" s="84"/>
      <c r="Q168" s="66"/>
    </row>
    <row r="169" spans="1:17" x14ac:dyDescent="0.3">
      <c r="F169" s="28"/>
      <c r="K169" s="42"/>
      <c r="O169" s="6"/>
      <c r="P169" s="84"/>
      <c r="Q169" s="66"/>
    </row>
    <row r="170" spans="1:17" x14ac:dyDescent="0.3">
      <c r="K170" s="7"/>
      <c r="P170" s="84"/>
      <c r="Q170" s="66"/>
    </row>
    <row r="171" spans="1:17" x14ac:dyDescent="0.3">
      <c r="F171" s="28"/>
      <c r="K171" s="7"/>
      <c r="P171" s="84"/>
      <c r="Q171" s="66"/>
    </row>
    <row r="172" spans="1:17" x14ac:dyDescent="0.3">
      <c r="K172" s="7"/>
      <c r="P172" s="84"/>
      <c r="Q172" s="66"/>
    </row>
    <row r="173" spans="1:17" x14ac:dyDescent="0.3">
      <c r="D173" s="28"/>
      <c r="K173" s="7"/>
      <c r="P173" s="84"/>
      <c r="Q173" s="66"/>
    </row>
    <row r="174" spans="1:17" x14ac:dyDescent="0.3">
      <c r="K174" s="7"/>
      <c r="P174" s="84"/>
      <c r="Q174" s="66"/>
    </row>
    <row r="175" spans="1:17" x14ac:dyDescent="0.3">
      <c r="A175" s="1"/>
      <c r="B175" s="1"/>
      <c r="K175" s="7"/>
      <c r="O175" s="1"/>
      <c r="P175" s="92"/>
      <c r="Q175" s="66"/>
    </row>
    <row r="176" spans="1:17" x14ac:dyDescent="0.3">
      <c r="A176" s="1"/>
      <c r="B176" s="1"/>
      <c r="K176" s="7"/>
      <c r="O176" s="1"/>
      <c r="P176" s="92"/>
      <c r="Q176" s="66"/>
    </row>
    <row r="177" spans="1:17" x14ac:dyDescent="0.3">
      <c r="A177" s="1"/>
      <c r="B177" s="1"/>
      <c r="K177" s="7"/>
      <c r="O177" s="1"/>
      <c r="P177" s="92"/>
      <c r="Q177" s="40"/>
    </row>
    <row r="178" spans="1:17" x14ac:dyDescent="0.3">
      <c r="A178" s="1"/>
      <c r="B178" s="1"/>
      <c r="K178" s="7"/>
      <c r="O178" s="1"/>
      <c r="P178" s="92"/>
      <c r="Q178" s="40"/>
    </row>
    <row r="179" spans="1:17" x14ac:dyDescent="0.3">
      <c r="A179" s="1"/>
      <c r="B179" s="1"/>
      <c r="K179" s="7"/>
      <c r="O179" s="1"/>
      <c r="P179" s="92"/>
      <c r="Q179" s="40"/>
    </row>
    <row r="180" spans="1:17" x14ac:dyDescent="0.3">
      <c r="A180" s="1"/>
      <c r="B180" s="1"/>
      <c r="K180" s="7"/>
      <c r="O180" s="1"/>
      <c r="P180" s="92"/>
      <c r="Q180" s="40"/>
    </row>
    <row r="181" spans="1:17" x14ac:dyDescent="0.3">
      <c r="A181" s="1"/>
      <c r="B181" s="1"/>
      <c r="K181" s="7"/>
      <c r="O181" s="1"/>
      <c r="P181" s="92"/>
      <c r="Q181" s="40"/>
    </row>
    <row r="182" spans="1:17" x14ac:dyDescent="0.3">
      <c r="A182" s="1"/>
      <c r="B182" s="1"/>
      <c r="K182" s="7"/>
      <c r="O182" s="1"/>
      <c r="P182" s="92"/>
      <c r="Q182" s="40"/>
    </row>
    <row r="183" spans="1:17" x14ac:dyDescent="0.3">
      <c r="A183" s="1"/>
      <c r="B183" s="1"/>
      <c r="K183" s="7"/>
      <c r="O183" s="1"/>
      <c r="P183" s="92"/>
      <c r="Q183" s="40"/>
    </row>
    <row r="184" spans="1:17" x14ac:dyDescent="0.3">
      <c r="A184" s="1"/>
      <c r="B184" s="1"/>
      <c r="K184" s="7"/>
      <c r="O184" s="1"/>
      <c r="P184" s="92"/>
      <c r="Q184" s="40"/>
    </row>
    <row r="185" spans="1:17" x14ac:dyDescent="0.3">
      <c r="A185" s="1"/>
      <c r="B185" s="1"/>
      <c r="K185" s="7"/>
      <c r="O185" s="1"/>
      <c r="P185" s="92"/>
      <c r="Q185" s="40"/>
    </row>
    <row r="186" spans="1:17" x14ac:dyDescent="0.3">
      <c r="A186" s="1"/>
      <c r="B186" s="1"/>
      <c r="K186" s="7"/>
      <c r="O186" s="1"/>
      <c r="P186" s="92"/>
      <c r="Q186" s="40"/>
    </row>
    <row r="187" spans="1:17" x14ac:dyDescent="0.3">
      <c r="A187" s="1"/>
      <c r="B187" s="1"/>
      <c r="K187" s="7"/>
      <c r="O187" s="1"/>
      <c r="P187" s="92"/>
      <c r="Q187" s="40"/>
    </row>
    <row r="188" spans="1:17" x14ac:dyDescent="0.3">
      <c r="A188" s="1"/>
      <c r="B188" s="1"/>
      <c r="K188" s="7"/>
      <c r="O188" s="1"/>
      <c r="P188" s="93"/>
      <c r="Q188" s="40"/>
    </row>
    <row r="189" spans="1:17" x14ac:dyDescent="0.3">
      <c r="Q189" s="40"/>
    </row>
    <row r="190" spans="1:17" x14ac:dyDescent="0.3">
      <c r="Q190" s="66"/>
    </row>
    <row r="191" spans="1:17" x14ac:dyDescent="0.3">
      <c r="Q191" s="66"/>
    </row>
    <row r="192" spans="1:17" x14ac:dyDescent="0.3">
      <c r="Q192" s="66"/>
    </row>
    <row r="193" spans="17:17" x14ac:dyDescent="0.3">
      <c r="Q193" s="66"/>
    </row>
    <row r="194" spans="17:17" x14ac:dyDescent="0.3">
      <c r="Q194" s="66"/>
    </row>
    <row r="195" spans="17:17" x14ac:dyDescent="0.3">
      <c r="Q195" s="66"/>
    </row>
    <row r="196" spans="17:17" x14ac:dyDescent="0.3">
      <c r="Q196" s="66"/>
    </row>
    <row r="197" spans="17:17" x14ac:dyDescent="0.3">
      <c r="Q197" s="66"/>
    </row>
    <row r="198" spans="17:17" x14ac:dyDescent="0.3">
      <c r="Q198" s="66"/>
    </row>
    <row r="199" spans="17:17" x14ac:dyDescent="0.3">
      <c r="Q199" s="66"/>
    </row>
    <row r="200" spans="17:17" x14ac:dyDescent="0.3">
      <c r="Q200" s="66"/>
    </row>
    <row r="201" spans="17:17" x14ac:dyDescent="0.3">
      <c r="Q201" s="66"/>
    </row>
    <row r="202" spans="17:17" x14ac:dyDescent="0.3">
      <c r="Q202" s="66"/>
    </row>
    <row r="203" spans="17:17" x14ac:dyDescent="0.3">
      <c r="Q203" s="66"/>
    </row>
    <row r="204" spans="17:17" x14ac:dyDescent="0.3">
      <c r="Q204" s="66"/>
    </row>
    <row r="205" spans="17:17" x14ac:dyDescent="0.3">
      <c r="Q205" s="66"/>
    </row>
    <row r="206" spans="17:17" x14ac:dyDescent="0.3">
      <c r="Q206" s="66"/>
    </row>
    <row r="207" spans="17:17" x14ac:dyDescent="0.3">
      <c r="Q207" s="66"/>
    </row>
    <row r="208" spans="17:17" x14ac:dyDescent="0.3">
      <c r="Q208" s="66"/>
    </row>
    <row r="209" spans="17:17" x14ac:dyDescent="0.3">
      <c r="Q209" s="66"/>
    </row>
    <row r="210" spans="17:17" x14ac:dyDescent="0.3">
      <c r="Q210" s="66"/>
    </row>
    <row r="211" spans="17:17" x14ac:dyDescent="0.3">
      <c r="Q211" s="66"/>
    </row>
    <row r="212" spans="17:17" x14ac:dyDescent="0.3">
      <c r="Q212" s="66"/>
    </row>
    <row r="213" spans="17:17" x14ac:dyDescent="0.3">
      <c r="Q213" s="66"/>
    </row>
    <row r="214" spans="17:17" x14ac:dyDescent="0.3">
      <c r="Q214" s="66"/>
    </row>
    <row r="215" spans="17:17" x14ac:dyDescent="0.3">
      <c r="Q215" s="66"/>
    </row>
    <row r="216" spans="17:17" x14ac:dyDescent="0.3">
      <c r="Q216" s="66"/>
    </row>
    <row r="217" spans="17:17" x14ac:dyDescent="0.3">
      <c r="Q217" s="66"/>
    </row>
  </sheetData>
  <mergeCells count="11">
    <mergeCell ref="C150:D150"/>
    <mergeCell ref="B1:P1"/>
    <mergeCell ref="G76:G77"/>
    <mergeCell ref="H2:K2"/>
    <mergeCell ref="M2:O2"/>
    <mergeCell ref="J3:K3"/>
    <mergeCell ref="M3:M4"/>
    <mergeCell ref="N3:N4"/>
    <mergeCell ref="O3:O4"/>
    <mergeCell ref="H3:H4"/>
    <mergeCell ref="I3:I4"/>
  </mergeCells>
  <pageMargins left="0" right="0" top="0" bottom="0.5" header="0.3" footer="0.3"/>
  <pageSetup scale="38" fitToHeight="0" orientation="portrait" r:id="rId1"/>
  <headerFooter>
    <oddFooter>&amp;C&amp;P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Top Sheet</vt:lpstr>
      <vt:lpstr>Summary New Year</vt:lpstr>
      <vt:lpstr>New Year-Full Year</vt:lpstr>
      <vt:lpstr>Cur_Month</vt:lpstr>
      <vt:lpstr>Cur_Year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SC Johnson</cp:lastModifiedBy>
  <cp:lastPrinted>2016-10-11T17:43:57Z</cp:lastPrinted>
  <dcterms:created xsi:type="dcterms:W3CDTF">2011-12-01T18:07:46Z</dcterms:created>
  <dcterms:modified xsi:type="dcterms:W3CDTF">2016-12-01T18:43:21Z</dcterms:modified>
</cp:coreProperties>
</file>